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INTERGRATED statements" sheetId="2" r:id="rId1"/>
    <sheet name="DCF" sheetId="3" r:id="rId2"/>
    <sheet name="WACC" sheetId="6" r:id="rId3"/>
    <sheet name="Sheet3" sheetId="4" r:id="rId4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14" i="2"/>
  <c r="L114"/>
  <c r="J114"/>
  <c r="K63"/>
  <c r="D18" i="6"/>
  <c r="D17"/>
  <c r="D14"/>
  <c r="F9"/>
  <c r="F8"/>
  <c r="F10" s="1"/>
  <c r="B5" i="4"/>
  <c r="F4" i="6"/>
  <c r="J3"/>
  <c r="K3"/>
  <c r="I3"/>
  <c r="I11" i="3"/>
  <c r="H11"/>
  <c r="G11"/>
  <c r="F11"/>
  <c r="E11"/>
  <c r="F6"/>
  <c r="F12" s="1"/>
  <c r="G6"/>
  <c r="G12" s="1"/>
  <c r="H6"/>
  <c r="H12" s="1"/>
  <c r="I6"/>
  <c r="I12" s="1"/>
  <c r="E6"/>
  <c r="E12" s="1"/>
  <c r="I173" i="2"/>
  <c r="J173"/>
  <c r="K173"/>
  <c r="L173"/>
  <c r="H173"/>
  <c r="I171"/>
  <c r="J171"/>
  <c r="K171"/>
  <c r="L171"/>
  <c r="H171"/>
  <c r="I172"/>
  <c r="J172"/>
  <c r="K172"/>
  <c r="L172"/>
  <c r="H172"/>
  <c r="I168"/>
  <c r="J168"/>
  <c r="K168"/>
  <c r="L168"/>
  <c r="M167"/>
  <c r="H168"/>
  <c r="I165"/>
  <c r="H165"/>
  <c r="I163"/>
  <c r="J163"/>
  <c r="K163"/>
  <c r="L163"/>
  <c r="H163"/>
  <c r="I162"/>
  <c r="H162"/>
  <c r="I161"/>
  <c r="J161"/>
  <c r="K161"/>
  <c r="L161"/>
  <c r="H161"/>
  <c r="K133"/>
  <c r="L133"/>
  <c r="K132"/>
  <c r="L132"/>
  <c r="K131"/>
  <c r="L131" s="1"/>
  <c r="K130"/>
  <c r="L130"/>
  <c r="J133"/>
  <c r="J132"/>
  <c r="J131"/>
  <c r="J130"/>
  <c r="K129"/>
  <c r="L129"/>
  <c r="J129"/>
  <c r="K128"/>
  <c r="L128"/>
  <c r="J128"/>
  <c r="J134" s="1"/>
  <c r="W154"/>
  <c r="X154"/>
  <c r="Y154" s="1"/>
  <c r="W155"/>
  <c r="X155" s="1"/>
  <c r="Y155" s="1"/>
  <c r="W156"/>
  <c r="X156"/>
  <c r="Y156" s="1"/>
  <c r="W157"/>
  <c r="X157" s="1"/>
  <c r="Y157" s="1"/>
  <c r="W158"/>
  <c r="X158"/>
  <c r="Y158" s="1"/>
  <c r="X153"/>
  <c r="Y153"/>
  <c r="W153"/>
  <c r="U153"/>
  <c r="V153"/>
  <c r="U154"/>
  <c r="V154"/>
  <c r="U155"/>
  <c r="V155"/>
  <c r="U156"/>
  <c r="V156"/>
  <c r="U157"/>
  <c r="V157"/>
  <c r="U158"/>
  <c r="V158"/>
  <c r="T158"/>
  <c r="T157"/>
  <c r="T156"/>
  <c r="T155"/>
  <c r="T153"/>
  <c r="T154"/>
  <c r="K121"/>
  <c r="L121"/>
  <c r="K120"/>
  <c r="L120"/>
  <c r="J120"/>
  <c r="K122"/>
  <c r="L122"/>
  <c r="J123"/>
  <c r="J122"/>
  <c r="J121"/>
  <c r="J125" s="1"/>
  <c r="K124"/>
  <c r="L124"/>
  <c r="J124"/>
  <c r="K118"/>
  <c r="L118"/>
  <c r="J118"/>
  <c r="K134"/>
  <c r="W146"/>
  <c r="X146"/>
  <c r="Y146" s="1"/>
  <c r="U146"/>
  <c r="V146"/>
  <c r="T146"/>
  <c r="X145"/>
  <c r="Y145"/>
  <c r="W145"/>
  <c r="U145"/>
  <c r="V145"/>
  <c r="T145"/>
  <c r="U143"/>
  <c r="V143"/>
  <c r="W143" s="1"/>
  <c r="X143" s="1"/>
  <c r="Y143" s="1"/>
  <c r="T143"/>
  <c r="W144"/>
  <c r="X144"/>
  <c r="Y144" s="1"/>
  <c r="U144"/>
  <c r="V144"/>
  <c r="T144"/>
  <c r="X142"/>
  <c r="Y142"/>
  <c r="W142"/>
  <c r="U142"/>
  <c r="V142"/>
  <c r="T142"/>
  <c r="J113"/>
  <c r="J112"/>
  <c r="K112"/>
  <c r="L112" s="1"/>
  <c r="J111"/>
  <c r="K110"/>
  <c r="L110" s="1"/>
  <c r="J110"/>
  <c r="K109"/>
  <c r="L109"/>
  <c r="J109"/>
  <c r="K108"/>
  <c r="L108"/>
  <c r="J108"/>
  <c r="K106"/>
  <c r="L106"/>
  <c r="J106"/>
  <c r="L107"/>
  <c r="K107"/>
  <c r="J107"/>
  <c r="J70"/>
  <c r="U140"/>
  <c r="V140"/>
  <c r="W140" s="1"/>
  <c r="X140" s="1"/>
  <c r="Y140" s="1"/>
  <c r="U139"/>
  <c r="V139"/>
  <c r="W139" s="1"/>
  <c r="X139" s="1"/>
  <c r="Y139" s="1"/>
  <c r="U138"/>
  <c r="V138"/>
  <c r="U137"/>
  <c r="V137"/>
  <c r="W137" s="1"/>
  <c r="X137" s="1"/>
  <c r="Y137" s="1"/>
  <c r="U136"/>
  <c r="V136"/>
  <c r="U135"/>
  <c r="V135"/>
  <c r="T134"/>
  <c r="T135"/>
  <c r="T136"/>
  <c r="W138"/>
  <c r="X138" s="1"/>
  <c r="Y138" s="1"/>
  <c r="T137"/>
  <c r="T138"/>
  <c r="T139"/>
  <c r="T140"/>
  <c r="W136"/>
  <c r="X136" s="1"/>
  <c r="Y136" s="1"/>
  <c r="W134"/>
  <c r="X134" s="1"/>
  <c r="Y134" s="1"/>
  <c r="W132"/>
  <c r="X132"/>
  <c r="Y132" s="1"/>
  <c r="W133"/>
  <c r="X133" s="1"/>
  <c r="Y133" s="1"/>
  <c r="W135"/>
  <c r="X135" s="1"/>
  <c r="Y135" s="1"/>
  <c r="X131"/>
  <c r="Y131"/>
  <c r="U134"/>
  <c r="V134"/>
  <c r="T133"/>
  <c r="U133"/>
  <c r="V133"/>
  <c r="U132"/>
  <c r="V132"/>
  <c r="T132"/>
  <c r="W131"/>
  <c r="U131"/>
  <c r="V131"/>
  <c r="T131"/>
  <c r="X125"/>
  <c r="Y125"/>
  <c r="Z125" s="1"/>
  <c r="W125"/>
  <c r="U125"/>
  <c r="V125"/>
  <c r="T125"/>
  <c r="J119"/>
  <c r="K119"/>
  <c r="I55"/>
  <c r="J55"/>
  <c r="K55"/>
  <c r="L55"/>
  <c r="H55"/>
  <c r="H154"/>
  <c r="J86"/>
  <c r="K86"/>
  <c r="L86" s="1"/>
  <c r="J87"/>
  <c r="K87" s="1"/>
  <c r="L87" s="1"/>
  <c r="K85"/>
  <c r="L85" s="1"/>
  <c r="J85"/>
  <c r="H105"/>
  <c r="I105"/>
  <c r="J105"/>
  <c r="K105"/>
  <c r="L105"/>
  <c r="G105"/>
  <c r="G115"/>
  <c r="G154"/>
  <c r="J141"/>
  <c r="K141"/>
  <c r="L141"/>
  <c r="K148"/>
  <c r="L148"/>
  <c r="J151"/>
  <c r="K151"/>
  <c r="L151" s="1"/>
  <c r="J152"/>
  <c r="K152" s="1"/>
  <c r="J153"/>
  <c r="K153"/>
  <c r="L153" s="1"/>
  <c r="K150"/>
  <c r="L150"/>
  <c r="J148"/>
  <c r="J150"/>
  <c r="J139"/>
  <c r="K139"/>
  <c r="L139" s="1"/>
  <c r="J140"/>
  <c r="K140" s="1"/>
  <c r="L140" s="1"/>
  <c r="K138"/>
  <c r="L138"/>
  <c r="J138"/>
  <c r="L119"/>
  <c r="J79"/>
  <c r="K79"/>
  <c r="L79" s="1"/>
  <c r="J80"/>
  <c r="K80" s="1"/>
  <c r="J81"/>
  <c r="K81"/>
  <c r="L81" s="1"/>
  <c r="J82"/>
  <c r="K82" s="1"/>
  <c r="L82" s="1"/>
  <c r="J83"/>
  <c r="K83"/>
  <c r="L83" s="1"/>
  <c r="K78"/>
  <c r="L78"/>
  <c r="J78"/>
  <c r="J61"/>
  <c r="L60"/>
  <c r="K60"/>
  <c r="J60"/>
  <c r="J57"/>
  <c r="J65" s="1"/>
  <c r="K57"/>
  <c r="K65" s="1"/>
  <c r="L57"/>
  <c r="L65"/>
  <c r="K74"/>
  <c r="L74"/>
  <c r="J74"/>
  <c r="K73"/>
  <c r="L73"/>
  <c r="J73"/>
  <c r="K71"/>
  <c r="L71"/>
  <c r="J71"/>
  <c r="K66"/>
  <c r="L66"/>
  <c r="J66"/>
  <c r="K67"/>
  <c r="L67"/>
  <c r="J67"/>
  <c r="L68"/>
  <c r="K68"/>
  <c r="J68"/>
  <c r="J115"/>
  <c r="J162" s="1"/>
  <c r="J165" s="1"/>
  <c r="J97"/>
  <c r="K97"/>
  <c r="L97"/>
  <c r="K96"/>
  <c r="L96"/>
  <c r="J96"/>
  <c r="J95"/>
  <c r="K95"/>
  <c r="L95"/>
  <c r="K93"/>
  <c r="L93"/>
  <c r="K94"/>
  <c r="L94"/>
  <c r="J94"/>
  <c r="J93"/>
  <c r="L92"/>
  <c r="K92"/>
  <c r="J92"/>
  <c r="K91"/>
  <c r="L91"/>
  <c r="J91"/>
  <c r="K113"/>
  <c r="L113" s="1"/>
  <c r="K56"/>
  <c r="L56"/>
  <c r="J56"/>
  <c r="L90"/>
  <c r="K90"/>
  <c r="J90"/>
  <c r="K125"/>
  <c r="I104"/>
  <c r="K103"/>
  <c r="L103"/>
  <c r="G103"/>
  <c r="H103"/>
  <c r="I103"/>
  <c r="J103"/>
  <c r="I30"/>
  <c r="I14"/>
  <c r="J27"/>
  <c r="K27" s="1"/>
  <c r="L23" s="1"/>
  <c r="K26"/>
  <c r="J26"/>
  <c r="J25"/>
  <c r="K25" s="1"/>
  <c r="Z7"/>
  <c r="AA7" s="1"/>
  <c r="J18"/>
  <c r="K18" s="1"/>
  <c r="L18" s="1"/>
  <c r="J16"/>
  <c r="K16" s="1"/>
  <c r="L16" s="1"/>
  <c r="J9"/>
  <c r="W16"/>
  <c r="X15"/>
  <c r="X16" s="1"/>
  <c r="U15"/>
  <c r="V16" s="1"/>
  <c r="T15"/>
  <c r="T16" s="1"/>
  <c r="U28"/>
  <c r="T28"/>
  <c r="S28"/>
  <c r="V29"/>
  <c r="V33" s="1"/>
  <c r="J24" s="1"/>
  <c r="U25"/>
  <c r="T25"/>
  <c r="S25"/>
  <c r="U24"/>
  <c r="T24"/>
  <c r="S24"/>
  <c r="U23"/>
  <c r="T23"/>
  <c r="S23"/>
  <c r="H19"/>
  <c r="T17" s="1"/>
  <c r="I19"/>
  <c r="U17" s="1"/>
  <c r="G19"/>
  <c r="T21" s="1"/>
  <c r="H152"/>
  <c r="I152"/>
  <c r="I154" s="1"/>
  <c r="G152"/>
  <c r="H141"/>
  <c r="I141"/>
  <c r="G141"/>
  <c r="H134"/>
  <c r="I134"/>
  <c r="G134"/>
  <c r="H125"/>
  <c r="I125"/>
  <c r="G125"/>
  <c r="H115"/>
  <c r="I115"/>
  <c r="H95"/>
  <c r="H97" s="1"/>
  <c r="I95"/>
  <c r="I97" s="1"/>
  <c r="H84"/>
  <c r="I84"/>
  <c r="H57"/>
  <c r="H65" s="1"/>
  <c r="H75" s="1"/>
  <c r="I57"/>
  <c r="I65" s="1"/>
  <c r="I75" s="1"/>
  <c r="I20"/>
  <c r="H14"/>
  <c r="H20" s="1"/>
  <c r="G14"/>
  <c r="H30"/>
  <c r="G30"/>
  <c r="I31"/>
  <c r="H31"/>
  <c r="G31"/>
  <c r="I36"/>
  <c r="H36"/>
  <c r="G36"/>
  <c r="D15" i="6" l="1"/>
  <c r="D19"/>
  <c r="L134" i="2"/>
  <c r="L125"/>
  <c r="K70"/>
  <c r="J75"/>
  <c r="L152"/>
  <c r="L154" s="1"/>
  <c r="K154"/>
  <c r="J154"/>
  <c r="L80"/>
  <c r="L84" s="1"/>
  <c r="L98" s="1"/>
  <c r="K84"/>
  <c r="K98" s="1"/>
  <c r="J84"/>
  <c r="J98" s="1"/>
  <c r="V28"/>
  <c r="W28" s="1"/>
  <c r="X28" s="1"/>
  <c r="L26"/>
  <c r="AB7"/>
  <c r="L25"/>
  <c r="L27"/>
  <c r="S17"/>
  <c r="G20"/>
  <c r="V30"/>
  <c r="V31" s="1"/>
  <c r="W29" s="1"/>
  <c r="W33" s="1"/>
  <c r="K24" s="1"/>
  <c r="U16"/>
  <c r="V24"/>
  <c r="J23" s="1"/>
  <c r="S20"/>
  <c r="S21"/>
  <c r="V23"/>
  <c r="J21" s="1"/>
  <c r="V25"/>
  <c r="U20"/>
  <c r="U21"/>
  <c r="V21" s="1"/>
  <c r="W21" s="1"/>
  <c r="T12"/>
  <c r="U13"/>
  <c r="W23"/>
  <c r="X23" s="1"/>
  <c r="W24"/>
  <c r="X24" s="1"/>
  <c r="S12"/>
  <c r="U12"/>
  <c r="S13"/>
  <c r="T13"/>
  <c r="T20"/>
  <c r="H98"/>
  <c r="I98"/>
  <c r="L115" l="1"/>
  <c r="L162" s="1"/>
  <c r="L165" s="1"/>
  <c r="K75"/>
  <c r="K115"/>
  <c r="K162" s="1"/>
  <c r="K165" s="1"/>
  <c r="K21"/>
  <c r="L21" s="1"/>
  <c r="W25"/>
  <c r="X25" s="1"/>
  <c r="W30"/>
  <c r="W31" s="1"/>
  <c r="X29" s="1"/>
  <c r="X33" s="1"/>
  <c r="L24" s="1"/>
  <c r="V13"/>
  <c r="J13" s="1"/>
  <c r="V12"/>
  <c r="J12" s="1"/>
  <c r="W13"/>
  <c r="X13" s="1"/>
  <c r="W12"/>
  <c r="V20"/>
  <c r="J17" s="1"/>
  <c r="X21"/>
  <c r="L70" l="1"/>
  <c r="L75" s="1"/>
  <c r="J19"/>
  <c r="V17" s="1"/>
  <c r="K17"/>
  <c r="K13"/>
  <c r="L13" s="1"/>
  <c r="X31"/>
  <c r="K12"/>
  <c r="J14"/>
  <c r="J20" s="1"/>
  <c r="X30"/>
  <c r="X12"/>
  <c r="W20"/>
  <c r="X20" s="1"/>
  <c r="J22" l="1"/>
  <c r="J28" s="1"/>
  <c r="K19"/>
  <c r="W17" s="1"/>
  <c r="L17"/>
  <c r="L19" s="1"/>
  <c r="K14"/>
  <c r="K20" s="1"/>
  <c r="L12"/>
  <c r="L14" s="1"/>
  <c r="L20" s="1"/>
  <c r="L22" s="1"/>
  <c r="L28" s="1"/>
  <c r="L31" s="1"/>
  <c r="J30" l="1"/>
  <c r="J31"/>
  <c r="X17"/>
  <c r="K22"/>
  <c r="K23"/>
  <c r="K28" l="1"/>
  <c r="K31"/>
  <c r="L30"/>
  <c r="K30"/>
</calcChain>
</file>

<file path=xl/sharedStrings.xml><?xml version="1.0" encoding="utf-8"?>
<sst xmlns="http://schemas.openxmlformats.org/spreadsheetml/2006/main" count="239" uniqueCount="173">
  <si>
    <t>Cocacola</t>
  </si>
  <si>
    <t>Annual income statement</t>
  </si>
  <si>
    <t>Total revenue</t>
  </si>
  <si>
    <t>Cost of revenue</t>
  </si>
  <si>
    <t>Gross profit</t>
  </si>
  <si>
    <t>Operating expenses</t>
  </si>
  <si>
    <t>Research and development</t>
  </si>
  <si>
    <t>Sales general and admin</t>
  </si>
  <si>
    <t>Non recuring items</t>
  </si>
  <si>
    <t>Earnings before interest and tax</t>
  </si>
  <si>
    <t>Interest expense</t>
  </si>
  <si>
    <t>Earnings before tax</t>
  </si>
  <si>
    <t>Income tax</t>
  </si>
  <si>
    <t>Minority interest</t>
  </si>
  <si>
    <t>Equity earnings</t>
  </si>
  <si>
    <t>Net income from continuing operations</t>
  </si>
  <si>
    <t>Net income</t>
  </si>
  <si>
    <t>Net income applicable to common shareholders</t>
  </si>
  <si>
    <t>additional income/ expense</t>
  </si>
  <si>
    <t>Average share price</t>
  </si>
  <si>
    <t>Last historical year</t>
  </si>
  <si>
    <t>Annual gross margin improvement</t>
  </si>
  <si>
    <t>Units</t>
  </si>
  <si>
    <t>% growth in net revenues</t>
  </si>
  <si>
    <t>Percentage growth in revenues</t>
  </si>
  <si>
    <t>Net income per share from the continuing operations</t>
  </si>
  <si>
    <t>loss per share/net income from continued operations</t>
  </si>
  <si>
    <t>Basic net income per share</t>
  </si>
  <si>
    <t>Balance sheet</t>
  </si>
  <si>
    <t>ASSETS</t>
  </si>
  <si>
    <t>Current assets</t>
  </si>
  <si>
    <t>Cash and cash equivalents</t>
  </si>
  <si>
    <t>Short-term investments</t>
  </si>
  <si>
    <t>TOTAL CASH, CASH EQUIVALENTS AND SHORT-TERM INVESTMENTS</t>
  </si>
  <si>
    <t>Marketable securities</t>
  </si>
  <si>
    <t>Trade accounts receivable, less allowances of $489 and $477, respectively</t>
  </si>
  <si>
    <t>Inventories</t>
  </si>
  <si>
    <t>Prepaid expenses and other assets</t>
  </si>
  <si>
    <t>Assets held for sale</t>
  </si>
  <si>
    <t>Assets held for sale — discontinued operations</t>
  </si>
  <si>
    <t>TOTAL CURRENT ASSETS</t>
  </si>
  <si>
    <t>EQUITY METHOD INVESTMENTS</t>
  </si>
  <si>
    <t>OTHER INVESTMENTS</t>
  </si>
  <si>
    <t>OTHER ASSETS</t>
  </si>
  <si>
    <t>DEFERRED INCOME TAX ASSETS</t>
  </si>
  <si>
    <t>PROPERTY, PLANT AND EQUIPMENT — net</t>
  </si>
  <si>
    <t>TRADEMARKS WITH INDEFINITE LIVES</t>
  </si>
  <si>
    <t>BOTTLERS’ FRANCHISE RIGHTS WITH INDEFINITE LIVES</t>
  </si>
  <si>
    <t>GOODWILL</t>
  </si>
  <si>
    <t>OTHER INTANGIBLE ASSETS</t>
  </si>
  <si>
    <t>TOTAL ASSETS</t>
  </si>
  <si>
    <t>LIABILITIES AND EQUITY</t>
  </si>
  <si>
    <t>CURRENT LIABILITIES</t>
  </si>
  <si>
    <t>Accounts payable and accrued expenses</t>
  </si>
  <si>
    <t>Loans and notes payable</t>
  </si>
  <si>
    <t>Current maturities of long-term debt</t>
  </si>
  <si>
    <t>Accrued income taxes</t>
  </si>
  <si>
    <t>Liabilities held for sale — discontinued operations</t>
  </si>
  <si>
    <t>TOTAL CURRENT LIABILITIES</t>
  </si>
  <si>
    <t>LONG-TERM DEBT</t>
  </si>
  <si>
    <t>OTHER LIABILITIES</t>
  </si>
  <si>
    <t>DEFERRED INCOME TAX LIABILITIES</t>
  </si>
  <si>
    <t>THE COCA-COLA COMPANY SHAREOWNERS’ EQUITY</t>
  </si>
  <si>
    <t>Common stock, $0.25 par value; Authorized — 11,200 shares;</t>
  </si>
  <si>
    <t>Issued — 7,040 and 7,040 shares, respectively</t>
  </si>
  <si>
    <t>Capital surplus</t>
  </si>
  <si>
    <t>Reinvested earnings</t>
  </si>
  <si>
    <t>Accumulated other comprehensive income (loss)</t>
  </si>
  <si>
    <t>Treasury stock, at cost — 2,772 and 2,781 shares, respectively</t>
  </si>
  <si>
    <t>EQUITY ATTRIBUTABLE TO SHAREOWNERS OF THE COCA-COLA COMPANY</t>
  </si>
  <si>
    <t>EQUITY ATTRIBUTABLE TO NONCONTROLLING INTERESTS</t>
  </si>
  <si>
    <t>TOTAL EQUITY</t>
  </si>
  <si>
    <t>TOTAL LIABILITIES AND EQUITY</t>
  </si>
  <si>
    <t>Cash flows</t>
  </si>
  <si>
    <t>operating activities</t>
  </si>
  <si>
    <t>Consolidated net income</t>
  </si>
  <si>
    <t>(Income) loss from discontinued operations</t>
  </si>
  <si>
    <t>Depreciation and amortization</t>
  </si>
  <si>
    <t>Stock-based compensation expense</t>
  </si>
  <si>
    <t>Deferred income taxes</t>
  </si>
  <si>
    <t>Equity (income) loss — net of dividends</t>
  </si>
  <si>
    <t>Foreign currency adjustments</t>
  </si>
  <si>
    <t>Significant (gains) losses on sales of assets — net</t>
  </si>
  <si>
    <t>Other operating charges</t>
  </si>
  <si>
    <t>Other items</t>
  </si>
  <si>
    <t>Net change in operating assets and liabilities</t>
  </si>
  <si>
    <t>Net cash provided by operating activities</t>
  </si>
  <si>
    <t>INVESTING ACTIVITIES</t>
  </si>
  <si>
    <t>Purchases of investments</t>
  </si>
  <si>
    <t>Proceeds from disposals of investments</t>
  </si>
  <si>
    <t>Acquisitions of businesses, equity method investments and nonmarketable securities</t>
  </si>
  <si>
    <t>Proceeds from disposals of businesses, equity method investments and nonmarketable securities</t>
  </si>
  <si>
    <t>Purchases of property, plant and equipment</t>
  </si>
  <si>
    <t>Proceeds from disposals of property, plant and equipment</t>
  </si>
  <si>
    <t>Other investing activities</t>
  </si>
  <si>
    <t>FINANCING ACTIVITIES</t>
  </si>
  <si>
    <t>Issuances of debt</t>
  </si>
  <si>
    <t>Payments of debt</t>
  </si>
  <si>
    <t>Issuances of stock</t>
  </si>
  <si>
    <t>Purchases of stock for treasury</t>
  </si>
  <si>
    <t>Dividends</t>
  </si>
  <si>
    <t>Other financing activities</t>
  </si>
  <si>
    <t>Net cash provided by (used in) financing activities</t>
  </si>
  <si>
    <t>CASH FLOWS FROM DISCONTINUED OPERATIONS</t>
  </si>
  <si>
    <t>Net cash provided by (used in) operating activities from discontinued operations</t>
  </si>
  <si>
    <t>Net cash provided by (used in) investing activities from discontinued operations</t>
  </si>
  <si>
    <t>Net cash provided by (used in) financing activities from discontinued operations</t>
  </si>
  <si>
    <t>Net cash provided by (used in) discontinued operations</t>
  </si>
  <si>
    <t>EFFECT OF EXCHANGE RATE CHANGES ON CASH, CASH EQUIVALENTS, RESTRICTED CASH AND RESTRICTED CASH EQUIVALENTS</t>
  </si>
  <si>
    <t>CASH, CASH EQUIVALENTS, RESTRICTED CASH AND RESTRICTED CASH EQUIVALENTS</t>
  </si>
  <si>
    <t>Net increase (decrease) in cash, cash equivalents, restricted cash and restricted cash equivalents during the yea</t>
  </si>
  <si>
    <t>Cash, cash equivalents, restricted cash and restricted cash equivalents at beginning of year</t>
  </si>
  <si>
    <t>Cash, cash equivalents, restricted cash and restricted cash equivalents at end of year</t>
  </si>
  <si>
    <t>Cash, cash equivalents, restricted cash and restricted cash equivalents at end of yea</t>
  </si>
  <si>
    <t>Less: Restricted cash and restricted cash equivalents at end of year</t>
  </si>
  <si>
    <t>Cash and cash equivalents at end of year</t>
  </si>
  <si>
    <t>Debt Schedule</t>
  </si>
  <si>
    <t>Cash balance at the beginning of the year</t>
  </si>
  <si>
    <t>Free cash flows from investing and operating activities</t>
  </si>
  <si>
    <t>Plus free cash flows from financing activities</t>
  </si>
  <si>
    <t>Less minimum cash balance</t>
  </si>
  <si>
    <t xml:space="preserve">Depreciation and amortization </t>
  </si>
  <si>
    <t>Financial statements drivers</t>
  </si>
  <si>
    <t>Income statement drivers</t>
  </si>
  <si>
    <t>%</t>
  </si>
  <si>
    <t>Total operating expenses</t>
  </si>
  <si>
    <t>Sales and general admin expenses</t>
  </si>
  <si>
    <t>Depreciation</t>
  </si>
  <si>
    <t>Additional income/expense</t>
  </si>
  <si>
    <t>Income tax expense</t>
  </si>
  <si>
    <t>Debt beginning balance</t>
  </si>
  <si>
    <t>Amortisation of debt</t>
  </si>
  <si>
    <t>Net cash provided by (used in) investing activities</t>
  </si>
  <si>
    <t>(-) Amortisation</t>
  </si>
  <si>
    <t>Interest rate</t>
  </si>
  <si>
    <t>Revenue growth</t>
  </si>
  <si>
    <t>Growth improvement</t>
  </si>
  <si>
    <t>SG&amp;A revenue</t>
  </si>
  <si>
    <t>Effective tax rate</t>
  </si>
  <si>
    <t>Ending debt balance</t>
  </si>
  <si>
    <t>Balance sheet drivers</t>
  </si>
  <si>
    <t>Days in sales outstanding</t>
  </si>
  <si>
    <t>Days sales of inventory</t>
  </si>
  <si>
    <t>Days payables outstanding</t>
  </si>
  <si>
    <t>Capital expenditure</t>
  </si>
  <si>
    <t>PPE schedule</t>
  </si>
  <si>
    <t>Beginning ppe Net of Depreciation</t>
  </si>
  <si>
    <t>Plus capital expenditures</t>
  </si>
  <si>
    <t>Less deprecoation as percentage of revenues</t>
  </si>
  <si>
    <t>percentage</t>
  </si>
  <si>
    <t>Discounted cash flow analyssis</t>
  </si>
  <si>
    <t>EBIT</t>
  </si>
  <si>
    <t>Csot of capital 10%</t>
  </si>
  <si>
    <t>Present value of cashflow</t>
  </si>
  <si>
    <t>Discounting factor</t>
  </si>
  <si>
    <t>Year</t>
  </si>
  <si>
    <t>*resent value of cash flows</t>
  </si>
  <si>
    <t>Before new tax code</t>
  </si>
  <si>
    <t>After new tax code</t>
  </si>
  <si>
    <t>Risk free rate</t>
  </si>
  <si>
    <t xml:space="preserve">Yield </t>
  </si>
  <si>
    <t>Beta</t>
  </si>
  <si>
    <t>Debt</t>
  </si>
  <si>
    <t>Total current liabilities</t>
  </si>
  <si>
    <t>Totla long term liabilities</t>
  </si>
  <si>
    <t>Total liabilities</t>
  </si>
  <si>
    <t>rd</t>
  </si>
  <si>
    <t>re</t>
  </si>
  <si>
    <t>D</t>
  </si>
  <si>
    <t>Stock price</t>
  </si>
  <si>
    <t>Outstanding shares</t>
  </si>
  <si>
    <t>E</t>
  </si>
  <si>
    <t>D+V=V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</si>
</sst>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14" fontId="0" fillId="0" borderId="0" xfId="0" applyNumberFormat="1"/>
    <xf numFmtId="9" fontId="0" fillId="0" borderId="0" xfId="1" applyFont="1"/>
    <xf numFmtId="3" fontId="0" fillId="0" borderId="0" xfId="0" applyNumberFormat="1"/>
    <xf numFmtId="0" fontId="2" fillId="0" borderId="0" xfId="0" applyFont="1"/>
    <xf numFmtId="3" fontId="2" fillId="0" borderId="0" xfId="0" applyNumberFormat="1" applyFont="1"/>
    <xf numFmtId="0" fontId="2" fillId="2" borderId="0" xfId="0" applyFont="1" applyFill="1"/>
    <xf numFmtId="3" fontId="2" fillId="2" borderId="0" xfId="0" applyNumberFormat="1" applyFont="1" applyFill="1"/>
    <xf numFmtId="0" fontId="0" fillId="2" borderId="0" xfId="0" applyFill="1"/>
    <xf numFmtId="0" fontId="3" fillId="2" borderId="0" xfId="0" applyFont="1" applyFill="1"/>
    <xf numFmtId="3" fontId="3" fillId="2" borderId="0" xfId="0" applyNumberFormat="1" applyFont="1" applyFill="1"/>
    <xf numFmtId="0" fontId="3" fillId="3" borderId="0" xfId="0" applyFont="1" applyFill="1"/>
    <xf numFmtId="0" fontId="4" fillId="0" borderId="0" xfId="0" applyFont="1"/>
    <xf numFmtId="3" fontId="4" fillId="0" borderId="0" xfId="0" applyNumberFormat="1" applyFont="1"/>
    <xf numFmtId="0" fontId="2" fillId="4" borderId="0" xfId="0" applyFont="1" applyFill="1"/>
    <xf numFmtId="9" fontId="2" fillId="0" borderId="0" xfId="1" applyFont="1"/>
    <xf numFmtId="9" fontId="0" fillId="0" borderId="0" xfId="0" applyNumberFormat="1"/>
    <xf numFmtId="10" fontId="0" fillId="0" borderId="0" xfId="0" applyNumberFormat="1"/>
    <xf numFmtId="10" fontId="0" fillId="0" borderId="0" xfId="1" applyNumberFormat="1" applyFont="1"/>
    <xf numFmtId="0" fontId="0" fillId="0" borderId="0" xfId="0" applyNumberFormat="1"/>
    <xf numFmtId="0" fontId="0" fillId="0" borderId="0" xfId="1" applyNumberFormat="1" applyFont="1"/>
    <xf numFmtId="10" fontId="2" fillId="0" borderId="0" xfId="0" applyNumberFormat="1" applyFont="1"/>
    <xf numFmtId="0" fontId="0" fillId="0" borderId="0" xfId="0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73"/>
  <sheetViews>
    <sheetView tabSelected="1" topLeftCell="A153" workbookViewId="0">
      <selection activeCell="G18" sqref="G18"/>
    </sheetView>
  </sheetViews>
  <sheetFormatPr defaultRowHeight="15"/>
  <cols>
    <col min="1" max="1" width="22.5703125" customWidth="1"/>
    <col min="4" max="4" width="10.7109375" bestFit="1" customWidth="1"/>
    <col min="10" max="10" width="10" bestFit="1" customWidth="1"/>
    <col min="16" max="16" width="12.5703125" customWidth="1"/>
    <col min="17" max="17" width="9.140625" customWidth="1"/>
    <col min="19" max="19" width="12.7109375" customWidth="1"/>
    <col min="20" max="20" width="13.42578125" customWidth="1"/>
  </cols>
  <sheetData>
    <row r="1" spans="1:28">
      <c r="G1">
        <v>2016</v>
      </c>
      <c r="H1">
        <v>2017</v>
      </c>
      <c r="I1">
        <v>2018</v>
      </c>
      <c r="W1">
        <v>2016</v>
      </c>
      <c r="X1">
        <v>2017</v>
      </c>
      <c r="Y1">
        <v>2018</v>
      </c>
      <c r="Z1">
        <v>2019</v>
      </c>
      <c r="AA1">
        <v>2020</v>
      </c>
      <c r="AB1">
        <v>2021</v>
      </c>
    </row>
    <row r="2" spans="1:28">
      <c r="A2" t="s">
        <v>19</v>
      </c>
      <c r="G2">
        <v>43.62</v>
      </c>
      <c r="H2">
        <v>44.09</v>
      </c>
      <c r="I2">
        <v>45.09</v>
      </c>
      <c r="Q2" t="s">
        <v>19</v>
      </c>
      <c r="W2">
        <v>43.62</v>
      </c>
      <c r="X2">
        <v>44.09</v>
      </c>
      <c r="Y2">
        <v>45.09</v>
      </c>
    </row>
    <row r="3" spans="1:28">
      <c r="A3" t="s">
        <v>20</v>
      </c>
      <c r="D3" s="1">
        <v>43465</v>
      </c>
      <c r="Q3" t="s">
        <v>20</v>
      </c>
      <c r="T3" s="1">
        <v>43465</v>
      </c>
    </row>
    <row r="4" spans="1:28">
      <c r="A4" t="s">
        <v>21</v>
      </c>
      <c r="Q4" t="s">
        <v>21</v>
      </c>
    </row>
    <row r="5" spans="1:28">
      <c r="Q5" t="s">
        <v>134</v>
      </c>
      <c r="U5" s="18">
        <v>1.6500000000000001E-2</v>
      </c>
    </row>
    <row r="6" spans="1:28">
      <c r="A6" t="s">
        <v>121</v>
      </c>
      <c r="Q6" t="s">
        <v>121</v>
      </c>
    </row>
    <row r="7" spans="1:28">
      <c r="Q7" t="s">
        <v>138</v>
      </c>
      <c r="W7" s="17">
        <v>0.19400000000000001</v>
      </c>
      <c r="X7" s="17">
        <v>0.82499999999999996</v>
      </c>
      <c r="Y7" s="17">
        <v>0.19400000000000001</v>
      </c>
      <c r="Z7" s="17">
        <f>AVERAGE(W7:Y7)</f>
        <v>0.40433333333333327</v>
      </c>
      <c r="AA7" s="17">
        <f>AVERAGE(X7:Z7)</f>
        <v>0.47444444444444439</v>
      </c>
      <c r="AB7" s="17">
        <f>AVERAGE(Y7:AA7)</f>
        <v>0.35759259259259252</v>
      </c>
    </row>
    <row r="8" spans="1:28">
      <c r="P8" t="s">
        <v>122</v>
      </c>
    </row>
    <row r="9" spans="1:28">
      <c r="A9" s="8" t="s">
        <v>0</v>
      </c>
      <c r="B9" s="8"/>
      <c r="C9" s="8"/>
      <c r="D9" t="s">
        <v>22</v>
      </c>
      <c r="G9">
        <v>2016</v>
      </c>
      <c r="H9">
        <v>2017</v>
      </c>
      <c r="I9">
        <v>2018</v>
      </c>
      <c r="J9">
        <f>2019</f>
        <v>2019</v>
      </c>
      <c r="K9">
        <v>2020</v>
      </c>
      <c r="L9">
        <v>2021</v>
      </c>
      <c r="P9" t="s">
        <v>123</v>
      </c>
    </row>
    <row r="10" spans="1:28">
      <c r="A10" s="8" t="s">
        <v>1</v>
      </c>
      <c r="B10" s="8"/>
      <c r="C10" s="8"/>
      <c r="D10" s="2"/>
    </row>
    <row r="11" spans="1:28">
      <c r="D11" s="2"/>
      <c r="R11" t="s">
        <v>22</v>
      </c>
      <c r="S11">
        <v>2016</v>
      </c>
      <c r="T11">
        <v>2017</v>
      </c>
      <c r="U11">
        <v>2018</v>
      </c>
      <c r="V11">
        <v>2019</v>
      </c>
      <c r="W11">
        <v>2020</v>
      </c>
      <c r="X11">
        <v>2021</v>
      </c>
    </row>
    <row r="12" spans="1:28">
      <c r="A12" t="s">
        <v>2</v>
      </c>
      <c r="D12" s="2"/>
      <c r="G12">
        <v>41863</v>
      </c>
      <c r="H12">
        <v>35410</v>
      </c>
      <c r="I12">
        <v>31856</v>
      </c>
      <c r="J12">
        <f t="shared" ref="J12:L13" si="0">I12*V12</f>
        <v>45625.815996010191</v>
      </c>
      <c r="K12">
        <f t="shared" si="0"/>
        <v>62062.183768588344</v>
      </c>
      <c r="L12">
        <f t="shared" si="0"/>
        <v>83717.057197930495</v>
      </c>
      <c r="P12" t="s">
        <v>2</v>
      </c>
      <c r="R12" t="s">
        <v>124</v>
      </c>
      <c r="S12" s="2">
        <f>G12/G14</f>
        <v>1.6482793920781165</v>
      </c>
      <c r="T12" s="2">
        <f>H12/G14</f>
        <v>1.3942042680526026</v>
      </c>
      <c r="U12" s="2">
        <f>I12/G14</f>
        <v>1.2542719899204662</v>
      </c>
      <c r="V12" s="2">
        <f t="shared" ref="V12:X13" si="1">AVERAGE(S12:U12)</f>
        <v>1.4322518833503952</v>
      </c>
      <c r="W12" s="2">
        <f t="shared" si="1"/>
        <v>1.3602427137744879</v>
      </c>
      <c r="X12" s="2">
        <f t="shared" si="1"/>
        <v>1.348922195681783</v>
      </c>
    </row>
    <row r="13" spans="1:28">
      <c r="A13" t="s">
        <v>3</v>
      </c>
      <c r="D13" s="2"/>
      <c r="G13">
        <v>16465</v>
      </c>
      <c r="H13">
        <v>13255</v>
      </c>
      <c r="I13">
        <v>11770</v>
      </c>
      <c r="J13">
        <f t="shared" si="0"/>
        <v>6409.1306402078908</v>
      </c>
      <c r="K13">
        <f t="shared" si="0"/>
        <v>3268.3252096658216</v>
      </c>
      <c r="L13">
        <f t="shared" si="0"/>
        <v>1653.6654335157652</v>
      </c>
      <c r="P13" t="s">
        <v>3</v>
      </c>
      <c r="R13" t="s">
        <v>124</v>
      </c>
      <c r="S13" s="2">
        <f>G13/G14</f>
        <v>0.64827939207811636</v>
      </c>
      <c r="T13" s="2">
        <f>H13/G14</f>
        <v>0.52189148751870229</v>
      </c>
      <c r="U13" s="2">
        <f>I13/G14</f>
        <v>0.46342231671785178</v>
      </c>
      <c r="V13" s="2">
        <f t="shared" si="1"/>
        <v>0.54453106543822349</v>
      </c>
      <c r="W13" s="2">
        <f t="shared" si="1"/>
        <v>0.50994828989159258</v>
      </c>
      <c r="X13" s="2">
        <f t="shared" si="1"/>
        <v>0.50596722401588934</v>
      </c>
    </row>
    <row r="14" spans="1:28">
      <c r="A14" s="4" t="s">
        <v>4</v>
      </c>
      <c r="B14" s="4"/>
      <c r="C14" s="4"/>
      <c r="D14" s="15"/>
      <c r="E14" s="4"/>
      <c r="F14" s="4"/>
      <c r="G14" s="4">
        <f>G12-G13</f>
        <v>25398</v>
      </c>
      <c r="H14" s="4">
        <f>H12-H13</f>
        <v>22155</v>
      </c>
      <c r="I14" s="4">
        <f>I12-I13</f>
        <v>20086</v>
      </c>
      <c r="J14" s="4">
        <f>J12-J13</f>
        <v>39216.685355802299</v>
      </c>
      <c r="K14" s="4">
        <f t="shared" ref="K14:L14" si="2">K12-K13</f>
        <v>58793.858558922526</v>
      </c>
      <c r="L14" s="4">
        <f t="shared" si="2"/>
        <v>82063.39176441473</v>
      </c>
      <c r="P14" t="s">
        <v>4</v>
      </c>
      <c r="R14" t="s">
        <v>124</v>
      </c>
      <c r="S14" s="2"/>
      <c r="T14" s="2"/>
      <c r="U14" s="2"/>
      <c r="V14" s="2"/>
      <c r="W14" s="2"/>
      <c r="X14" s="2"/>
    </row>
    <row r="15" spans="1:28">
      <c r="A15" t="s">
        <v>5</v>
      </c>
      <c r="D15" s="2"/>
      <c r="P15" t="s">
        <v>135</v>
      </c>
      <c r="S15" s="2"/>
      <c r="T15" s="2">
        <f>(H12/G12)-1</f>
        <v>-0.15414566562358167</v>
      </c>
      <c r="U15" s="2">
        <f>(I12/G12)-1</f>
        <v>-0.23904163581205362</v>
      </c>
      <c r="V15" s="2">
        <v>0.2</v>
      </c>
      <c r="W15" s="2">
        <v>0.19</v>
      </c>
      <c r="X15" s="2">
        <f>AVERAGE(V15:W15)</f>
        <v>0.19500000000000001</v>
      </c>
    </row>
    <row r="16" spans="1:28">
      <c r="A16" t="s">
        <v>6</v>
      </c>
      <c r="D16" s="2"/>
      <c r="G16">
        <v>0</v>
      </c>
      <c r="H16">
        <v>0</v>
      </c>
      <c r="I16">
        <v>0</v>
      </c>
      <c r="J16">
        <f>I16</f>
        <v>0</v>
      </c>
      <c r="K16">
        <f t="shared" ref="K16:L16" si="3">J16</f>
        <v>0</v>
      </c>
      <c r="L16">
        <f t="shared" si="3"/>
        <v>0</v>
      </c>
      <c r="P16" t="s">
        <v>136</v>
      </c>
      <c r="S16" s="2"/>
      <c r="T16" s="2">
        <f>T15-S15</f>
        <v>-0.15414566562358167</v>
      </c>
      <c r="U16" s="2">
        <f>U15-T15</f>
        <v>-8.4895970188471948E-2</v>
      </c>
      <c r="V16" s="2">
        <f>V15-U15</f>
        <v>0.43904163581205363</v>
      </c>
      <c r="W16" s="2">
        <f>W15-V15</f>
        <v>-1.0000000000000009E-2</v>
      </c>
      <c r="X16" s="2">
        <f>X15-W15</f>
        <v>5.0000000000000044E-3</v>
      </c>
    </row>
    <row r="17" spans="1:24">
      <c r="A17" t="s">
        <v>7</v>
      </c>
      <c r="D17" s="2"/>
      <c r="G17">
        <v>16741</v>
      </c>
      <c r="H17">
        <v>14566</v>
      </c>
      <c r="I17">
        <v>11386</v>
      </c>
      <c r="J17">
        <f>I17*V20</f>
        <v>9678.8821456304886</v>
      </c>
      <c r="K17">
        <f>J17*W20</f>
        <v>7743.9922198568383</v>
      </c>
      <c r="L17">
        <f>K17*X20</f>
        <v>6015.2412603702505</v>
      </c>
      <c r="P17" t="s">
        <v>137</v>
      </c>
      <c r="S17" s="2">
        <f t="shared" ref="S17:X17" si="4">G19/G12</f>
        <v>0.39989967274203952</v>
      </c>
      <c r="T17" s="2">
        <f t="shared" si="4"/>
        <v>0.41135272521886473</v>
      </c>
      <c r="U17" s="2">
        <f t="shared" si="4"/>
        <v>0.35742089402310395</v>
      </c>
      <c r="V17" s="2">
        <f t="shared" si="4"/>
        <v>0.21213608862309161</v>
      </c>
      <c r="W17" s="2">
        <f t="shared" si="4"/>
        <v>0.12477795252471152</v>
      </c>
      <c r="X17" s="2">
        <f t="shared" si="4"/>
        <v>7.1852039019342742E-2</v>
      </c>
    </row>
    <row r="18" spans="1:24">
      <c r="A18" t="s">
        <v>8</v>
      </c>
      <c r="D18" s="2"/>
      <c r="G18">
        <v>0</v>
      </c>
      <c r="H18">
        <v>0</v>
      </c>
      <c r="I18">
        <v>0</v>
      </c>
      <c r="J18">
        <f>I18</f>
        <v>0</v>
      </c>
      <c r="K18">
        <f t="shared" ref="K18:L18" si="5">J18</f>
        <v>0</v>
      </c>
      <c r="L18">
        <f t="shared" si="5"/>
        <v>0</v>
      </c>
      <c r="S18" s="2"/>
      <c r="T18" s="2"/>
      <c r="U18" s="2"/>
      <c r="V18" s="2"/>
      <c r="W18" s="2"/>
      <c r="X18" s="2"/>
    </row>
    <row r="19" spans="1:24">
      <c r="A19" s="4" t="s">
        <v>125</v>
      </c>
      <c r="B19" s="4"/>
      <c r="C19" s="4"/>
      <c r="D19" s="15"/>
      <c r="E19" s="4"/>
      <c r="F19" s="4"/>
      <c r="G19" s="4">
        <f>G17+G18</f>
        <v>16741</v>
      </c>
      <c r="H19" s="4">
        <f t="shared" ref="H19:I19" si="6">H17+H18</f>
        <v>14566</v>
      </c>
      <c r="I19" s="4">
        <f t="shared" si="6"/>
        <v>11386</v>
      </c>
      <c r="J19" s="4">
        <f t="shared" ref="J19" si="7">J17+J18</f>
        <v>9678.8821456304886</v>
      </c>
      <c r="K19" s="4">
        <f t="shared" ref="K19" si="8">K17+K18</f>
        <v>7743.9922198568383</v>
      </c>
      <c r="L19" s="4">
        <f t="shared" ref="L19" si="9">L17+L18</f>
        <v>6015.2412603702505</v>
      </c>
      <c r="P19" t="s">
        <v>5</v>
      </c>
      <c r="R19" t="s">
        <v>124</v>
      </c>
      <c r="S19" s="2"/>
      <c r="T19" s="2"/>
      <c r="U19" s="2"/>
      <c r="V19" s="2"/>
      <c r="W19" s="2"/>
      <c r="X19" s="2"/>
    </row>
    <row r="20" spans="1:24">
      <c r="A20" s="4" t="s">
        <v>9</v>
      </c>
      <c r="B20" s="4"/>
      <c r="C20" s="4"/>
      <c r="D20" s="2"/>
      <c r="G20">
        <f>G14-G19</f>
        <v>8657</v>
      </c>
      <c r="H20">
        <f t="shared" ref="H20" si="10">H14-H19</f>
        <v>7589</v>
      </c>
      <c r="I20">
        <f t="shared" ref="I20" si="11">I14-I19</f>
        <v>8700</v>
      </c>
      <c r="J20">
        <f>J14-J19</f>
        <v>29537.803210171813</v>
      </c>
      <c r="K20">
        <f t="shared" ref="K20" si="12">K14-K19</f>
        <v>51049.866339065687</v>
      </c>
      <c r="L20">
        <f t="shared" ref="L20" si="13">L14-L19</f>
        <v>76048.150504044475</v>
      </c>
      <c r="P20" t="s">
        <v>126</v>
      </c>
      <c r="R20" t="s">
        <v>124</v>
      </c>
      <c r="S20" s="2">
        <f>G17/G19</f>
        <v>1</v>
      </c>
      <c r="T20" s="2">
        <f>H17/G19</f>
        <v>0.87007944567230155</v>
      </c>
      <c r="U20" s="2">
        <f>I17/G19</f>
        <v>0.68012663520697691</v>
      </c>
      <c r="V20" s="2">
        <f t="shared" ref="V20:X21" si="14">AVERAGE(S20:U20)</f>
        <v>0.85006869362642623</v>
      </c>
      <c r="W20" s="2">
        <f t="shared" si="14"/>
        <v>0.80009159150190168</v>
      </c>
      <c r="X20" s="2">
        <f t="shared" si="14"/>
        <v>0.77676230677843494</v>
      </c>
    </row>
    <row r="21" spans="1:24">
      <c r="A21" t="s">
        <v>18</v>
      </c>
      <c r="D21" s="2"/>
      <c r="G21">
        <v>-623</v>
      </c>
      <c r="H21">
        <v>-1087</v>
      </c>
      <c r="I21">
        <v>-439</v>
      </c>
      <c r="J21">
        <f>I21*V23</f>
        <v>48.179919309534753</v>
      </c>
      <c r="K21">
        <f>J21*W23</f>
        <v>-5.5173606590613389</v>
      </c>
      <c r="L21">
        <f>K21*X23</f>
        <v>0.53614786037726725</v>
      </c>
      <c r="P21" t="s">
        <v>127</v>
      </c>
      <c r="R21" t="s">
        <v>124</v>
      </c>
      <c r="S21" s="2">
        <f>G106/G19</f>
        <v>0.106743922107401</v>
      </c>
      <c r="T21" s="2">
        <f>H106/G19</f>
        <v>7.5264321127770151E-2</v>
      </c>
      <c r="U21" s="2">
        <f>I106/G19</f>
        <v>6.4870676781554268E-2</v>
      </c>
      <c r="V21" s="2">
        <f t="shared" si="14"/>
        <v>8.2292973338908462E-2</v>
      </c>
      <c r="W21" s="2">
        <f t="shared" si="14"/>
        <v>7.4142657082744298E-2</v>
      </c>
      <c r="X21" s="2">
        <f t="shared" si="14"/>
        <v>7.3768769067735676E-2</v>
      </c>
    </row>
    <row r="22" spans="1:24">
      <c r="A22" t="s">
        <v>11</v>
      </c>
      <c r="D22" s="2"/>
      <c r="G22">
        <v>8669</v>
      </c>
      <c r="H22">
        <v>7583</v>
      </c>
      <c r="I22">
        <v>9269</v>
      </c>
      <c r="J22">
        <f>J20-J21</f>
        <v>29489.623290862277</v>
      </c>
      <c r="K22">
        <f t="shared" ref="K22" si="15">K20-K21</f>
        <v>51055.383699724749</v>
      </c>
      <c r="L22">
        <f>L20-L21</f>
        <v>76047.614356184102</v>
      </c>
      <c r="R22" t="s">
        <v>124</v>
      </c>
      <c r="S22" s="2"/>
      <c r="T22" s="2"/>
      <c r="U22" s="2"/>
      <c r="V22" s="2"/>
      <c r="W22" s="2"/>
      <c r="X22" s="2"/>
    </row>
    <row r="23" spans="1:24">
      <c r="A23" t="s">
        <v>10</v>
      </c>
      <c r="D23" s="2"/>
      <c r="G23">
        <v>733</v>
      </c>
      <c r="H23">
        <v>841</v>
      </c>
      <c r="I23">
        <v>919</v>
      </c>
      <c r="J23">
        <f>I27*V24</f>
        <v>856.46345947602254</v>
      </c>
      <c r="K23">
        <f>J28*W24</f>
        <v>2883.3420361807421</v>
      </c>
      <c r="L23">
        <f>K27</f>
        <v>4465.1111111111104</v>
      </c>
      <c r="P23" t="s">
        <v>128</v>
      </c>
      <c r="R23" t="s">
        <v>124</v>
      </c>
      <c r="S23" s="2">
        <f>G21/G28</f>
        <v>-9.5449670599050102E-2</v>
      </c>
      <c r="T23" s="2">
        <f>H21/G28</f>
        <v>-0.16653899187988355</v>
      </c>
      <c r="U23" s="2">
        <f>I21/G28</f>
        <v>-6.7259077677340282E-2</v>
      </c>
      <c r="V23" s="2">
        <f t="shared" ref="V23:X25" si="16">AVERAGE(S23:U23)</f>
        <v>-0.10974924671875798</v>
      </c>
      <c r="W23" s="2">
        <f t="shared" si="16"/>
        <v>-0.11451577209199393</v>
      </c>
      <c r="X23" s="2">
        <f t="shared" si="16"/>
        <v>-9.7174698829364067E-2</v>
      </c>
    </row>
    <row r="24" spans="1:24">
      <c r="A24" t="s">
        <v>12</v>
      </c>
      <c r="D24" s="2"/>
      <c r="G24">
        <v>1586</v>
      </c>
      <c r="H24">
        <v>5560</v>
      </c>
      <c r="I24">
        <v>1623</v>
      </c>
      <c r="J24">
        <f>V33</f>
        <v>418.50600000000003</v>
      </c>
      <c r="K24">
        <f t="shared" ref="K24:L24" si="17">W33</f>
        <v>1.4345101349073539</v>
      </c>
      <c r="L24">
        <f t="shared" si="17"/>
        <v>-5.8990136570077623E-2</v>
      </c>
      <c r="P24" t="s">
        <v>10</v>
      </c>
      <c r="R24" t="s">
        <v>124</v>
      </c>
      <c r="S24" s="2">
        <f>G23/G28</f>
        <v>0.1123027424544201</v>
      </c>
      <c r="T24" s="2">
        <f>H23/G28</f>
        <v>0.12884939482151064</v>
      </c>
      <c r="U24" s="2">
        <f>I23/G28</f>
        <v>0.14079975486440938</v>
      </c>
      <c r="V24" s="2">
        <f t="shared" si="16"/>
        <v>0.12731729738011335</v>
      </c>
      <c r="W24" s="2">
        <f t="shared" si="16"/>
        <v>0.13232214902201112</v>
      </c>
      <c r="X24" s="2">
        <f t="shared" si="16"/>
        <v>0.13347973375551128</v>
      </c>
    </row>
    <row r="25" spans="1:24">
      <c r="A25" t="s">
        <v>13</v>
      </c>
      <c r="D25" s="2"/>
      <c r="G25">
        <v>-23</v>
      </c>
      <c r="H25">
        <v>-35</v>
      </c>
      <c r="I25">
        <v>-42</v>
      </c>
      <c r="J25">
        <f t="shared" ref="J25:L27" si="18">AVERAGE(G25:I25)</f>
        <v>-33.333333333333336</v>
      </c>
      <c r="K25">
        <f t="shared" si="18"/>
        <v>-36.777777777777779</v>
      </c>
      <c r="L25">
        <f t="shared" si="18"/>
        <v>-37.370370370370374</v>
      </c>
      <c r="P25" t="s">
        <v>129</v>
      </c>
      <c r="R25" t="s">
        <v>124</v>
      </c>
      <c r="S25" s="2">
        <f>G24/G28</f>
        <v>0.24299065420560748</v>
      </c>
      <c r="T25" s="2">
        <f>H24/G28</f>
        <v>0.85184617741688373</v>
      </c>
      <c r="U25" s="2">
        <f>I24/G28</f>
        <v>0.2486594147387774</v>
      </c>
      <c r="V25" s="2">
        <f t="shared" si="16"/>
        <v>0.44783208212042291</v>
      </c>
      <c r="W25" s="2">
        <f t="shared" si="16"/>
        <v>0.51611255809202794</v>
      </c>
      <c r="X25" s="2">
        <f t="shared" si="16"/>
        <v>0.40420135165040944</v>
      </c>
    </row>
    <row r="26" spans="1:24">
      <c r="A26" t="s">
        <v>14</v>
      </c>
      <c r="D26" s="2"/>
      <c r="G26">
        <v>835</v>
      </c>
      <c r="H26">
        <v>1071</v>
      </c>
      <c r="I26">
        <v>1008</v>
      </c>
      <c r="J26">
        <f t="shared" si="18"/>
        <v>971.33333333333337</v>
      </c>
      <c r="K26">
        <f t="shared" si="18"/>
        <v>1016.7777777777778</v>
      </c>
      <c r="L26">
        <f t="shared" si="18"/>
        <v>998.70370370370381</v>
      </c>
      <c r="R26" t="s">
        <v>124</v>
      </c>
      <c r="S26" s="2"/>
      <c r="T26" s="2"/>
      <c r="U26" s="2"/>
      <c r="V26" s="2"/>
      <c r="W26" s="2"/>
      <c r="X26" s="2"/>
    </row>
    <row r="27" spans="1:24">
      <c r="A27" t="s">
        <v>15</v>
      </c>
      <c r="D27" s="2"/>
      <c r="G27">
        <v>8550</v>
      </c>
      <c r="H27">
        <v>1182</v>
      </c>
      <c r="I27">
        <v>6727</v>
      </c>
      <c r="J27">
        <f t="shared" si="18"/>
        <v>5486.333333333333</v>
      </c>
      <c r="K27">
        <f t="shared" si="18"/>
        <v>4465.1111111111104</v>
      </c>
      <c r="L27">
        <f t="shared" si="18"/>
        <v>5559.4814814814808</v>
      </c>
      <c r="S27" s="2"/>
      <c r="T27" s="2"/>
      <c r="U27" s="2"/>
      <c r="V27" s="2"/>
      <c r="W27" s="2"/>
      <c r="X27" s="2"/>
    </row>
    <row r="28" spans="1:24">
      <c r="A28" s="4" t="s">
        <v>16</v>
      </c>
      <c r="B28" s="4"/>
      <c r="C28" s="4"/>
      <c r="D28" s="15"/>
      <c r="E28" s="4"/>
      <c r="F28" s="4"/>
      <c r="G28" s="4">
        <v>6527</v>
      </c>
      <c r="H28" s="4">
        <v>1248</v>
      </c>
      <c r="I28" s="4">
        <v>6434</v>
      </c>
      <c r="J28">
        <f>J22-J23-J24-J25-J26-J27</f>
        <v>21790.320498052923</v>
      </c>
      <c r="K28">
        <f t="shared" ref="K28" si="19">K22-K23-K24-K25-K26-K27</f>
        <v>42725.496042297986</v>
      </c>
      <c r="L28">
        <f>L22-L23-L24-L25-L26-L27</f>
        <v>65061.747420394742</v>
      </c>
      <c r="P28" t="s">
        <v>131</v>
      </c>
      <c r="R28" t="s">
        <v>124</v>
      </c>
      <c r="S28" s="2">
        <f>G129/29684</f>
        <v>-0.86292278668643041</v>
      </c>
      <c r="T28" s="2">
        <f>H129/H85</f>
        <v>-0.92162144827143866</v>
      </c>
      <c r="U28" s="2">
        <f>I129/I85</f>
        <v>-1.2051726856962623</v>
      </c>
      <c r="V28" s="2">
        <f>AVERAGE(S28:U28)</f>
        <v>-0.99657230688471043</v>
      </c>
      <c r="W28" s="2">
        <f>AVERAGE(T28:V28)</f>
        <v>-1.0411221469508039</v>
      </c>
      <c r="X28" s="2">
        <f>AVERAGE(U28:W28)</f>
        <v>-1.0809557131772589</v>
      </c>
    </row>
    <row r="29" spans="1:24">
      <c r="A29" t="s">
        <v>17</v>
      </c>
      <c r="D29" s="2"/>
      <c r="P29" s="4" t="s">
        <v>130</v>
      </c>
      <c r="Q29" s="4"/>
      <c r="R29" t="s">
        <v>124</v>
      </c>
      <c r="V29" s="3">
        <f>I85</f>
        <v>25364</v>
      </c>
      <c r="W29" s="3">
        <f>V31</f>
        <v>86.940008176203264</v>
      </c>
      <c r="X29" s="3">
        <f>W31</f>
        <v>-3.5751597921259162</v>
      </c>
    </row>
    <row r="30" spans="1:24">
      <c r="A30" t="s">
        <v>23</v>
      </c>
      <c r="G30" s="2">
        <f>(G28/7351)-1</f>
        <v>-0.11209359270847508</v>
      </c>
      <c r="H30" s="2">
        <f>(H28/G28)-1</f>
        <v>-0.80879423931362038</v>
      </c>
      <c r="I30" s="2">
        <f>(I28/H28)-1</f>
        <v>4.1554487179487181</v>
      </c>
      <c r="J30" s="2">
        <f>(J28/I28)-1</f>
        <v>2.3867454923924343</v>
      </c>
      <c r="K30" s="2">
        <f t="shared" ref="K30:L30" si="20">(K28/J28)-1</f>
        <v>0.96075574226252103</v>
      </c>
      <c r="L30" s="2">
        <f t="shared" si="20"/>
        <v>0.52278506856851936</v>
      </c>
      <c r="P30" t="s">
        <v>133</v>
      </c>
      <c r="R30" t="s">
        <v>124</v>
      </c>
      <c r="V30">
        <f>V28*V29</f>
        <v>-25277.059991823797</v>
      </c>
      <c r="W30">
        <f>W28*W29</f>
        <v>-90.51516796832918</v>
      </c>
      <c r="X30">
        <f>X28*X29</f>
        <v>3.8645894028201306</v>
      </c>
    </row>
    <row r="31" spans="1:24">
      <c r="A31" t="s">
        <v>24</v>
      </c>
      <c r="G31" s="2">
        <f>G28/G22</f>
        <v>0.75291267735609646</v>
      </c>
      <c r="H31" s="2">
        <f>H28/H22</f>
        <v>0.16457866279836475</v>
      </c>
      <c r="I31" s="2">
        <f>I28/I22</f>
        <v>0.69414176286546558</v>
      </c>
      <c r="J31" s="2">
        <f t="shared" ref="J31:L31" si="21">J28/J22</f>
        <v>0.73891484754248871</v>
      </c>
      <c r="K31" s="2">
        <f t="shared" si="21"/>
        <v>0.83684604729605294</v>
      </c>
      <c r="L31" s="2">
        <f t="shared" si="21"/>
        <v>0.85553962436829545</v>
      </c>
      <c r="P31" s="4" t="s">
        <v>139</v>
      </c>
      <c r="R31" t="s">
        <v>124</v>
      </c>
      <c r="V31" s="3">
        <f>V29+V30</f>
        <v>86.940008176203264</v>
      </c>
      <c r="W31" s="3">
        <f t="shared" ref="W31:X31" si="22">W29+W30</f>
        <v>-3.5751597921259162</v>
      </c>
      <c r="X31" s="3">
        <f t="shared" si="22"/>
        <v>0.28942961069421447</v>
      </c>
    </row>
    <row r="32" spans="1:24">
      <c r="R32" t="s">
        <v>124</v>
      </c>
    </row>
    <row r="33" spans="1:24">
      <c r="P33" t="s">
        <v>10</v>
      </c>
      <c r="R33" t="s">
        <v>124</v>
      </c>
      <c r="V33">
        <f>V29*U5</f>
        <v>418.50600000000003</v>
      </c>
      <c r="W33">
        <f>W29*U5</f>
        <v>1.4345101349073539</v>
      </c>
      <c r="X33">
        <f>X29*U5</f>
        <v>-5.8990136570077623E-2</v>
      </c>
    </row>
    <row r="34" spans="1:24">
      <c r="A34" t="s">
        <v>25</v>
      </c>
      <c r="G34">
        <v>1.51</v>
      </c>
      <c r="H34">
        <v>0.28000000000000003</v>
      </c>
      <c r="I34">
        <v>1.58</v>
      </c>
      <c r="Q34" s="19"/>
      <c r="R34" s="19"/>
    </row>
    <row r="35" spans="1:24">
      <c r="A35" t="s">
        <v>26</v>
      </c>
      <c r="G35">
        <v>0</v>
      </c>
      <c r="H35">
        <v>0.02</v>
      </c>
      <c r="I35">
        <v>-7.0000000000000007E-2</v>
      </c>
      <c r="Q35" s="19"/>
      <c r="R35" s="19"/>
    </row>
    <row r="36" spans="1:24">
      <c r="A36" t="s">
        <v>27</v>
      </c>
      <c r="G36">
        <f>G34+G35</f>
        <v>1.51</v>
      </c>
      <c r="H36">
        <f>H34+H35</f>
        <v>0.30000000000000004</v>
      </c>
      <c r="I36">
        <f>I34+I35</f>
        <v>1.51</v>
      </c>
      <c r="O36" t="s">
        <v>140</v>
      </c>
      <c r="Q36" s="19"/>
      <c r="R36" s="19"/>
    </row>
    <row r="37" spans="1:24">
      <c r="P37" t="s">
        <v>141</v>
      </c>
      <c r="Q37" s="19"/>
      <c r="R37" s="19"/>
    </row>
    <row r="38" spans="1:24">
      <c r="P38" t="s">
        <v>142</v>
      </c>
      <c r="Q38" s="19"/>
      <c r="R38" s="19"/>
    </row>
    <row r="39" spans="1:24">
      <c r="P39" t="s">
        <v>143</v>
      </c>
      <c r="Q39" s="19"/>
      <c r="R39" s="19"/>
    </row>
    <row r="40" spans="1:24">
      <c r="Q40" s="19"/>
      <c r="R40" s="19"/>
    </row>
    <row r="41" spans="1:24">
      <c r="Q41" s="19"/>
      <c r="R41" s="19"/>
    </row>
    <row r="42" spans="1:24">
      <c r="Q42" s="19"/>
      <c r="R42" s="19"/>
    </row>
    <row r="43" spans="1:24">
      <c r="A43" s="4"/>
      <c r="B43" s="4"/>
      <c r="C43" s="4"/>
      <c r="D43" s="4"/>
      <c r="E43" s="4"/>
      <c r="F43" s="4"/>
      <c r="G43" s="4"/>
      <c r="H43" s="4"/>
      <c r="I43" s="4"/>
      <c r="Q43" s="19"/>
      <c r="R43" s="19"/>
    </row>
    <row r="44" spans="1:24">
      <c r="Q44" s="19"/>
      <c r="R44" s="19"/>
    </row>
    <row r="45" spans="1:24">
      <c r="A45" t="s">
        <v>25</v>
      </c>
      <c r="Q45" s="19"/>
      <c r="R45" s="19"/>
    </row>
    <row r="46" spans="1:24">
      <c r="A46" t="s">
        <v>26</v>
      </c>
      <c r="Q46" s="19"/>
      <c r="R46" s="19"/>
    </row>
    <row r="47" spans="1:24">
      <c r="A47" t="s">
        <v>27</v>
      </c>
      <c r="Q47" s="19"/>
      <c r="R47" s="19"/>
    </row>
    <row r="48" spans="1:24">
      <c r="Q48" s="19"/>
      <c r="R48" s="19"/>
    </row>
    <row r="49" spans="1:18">
      <c r="Q49" s="19"/>
      <c r="R49" s="19"/>
    </row>
    <row r="50" spans="1:18">
      <c r="Q50" s="19"/>
      <c r="R50" s="19"/>
    </row>
    <row r="51" spans="1:18">
      <c r="A51" t="s">
        <v>28</v>
      </c>
      <c r="G51">
        <v>2016</v>
      </c>
      <c r="H51">
        <v>2017</v>
      </c>
      <c r="I51">
        <v>2018</v>
      </c>
      <c r="J51">
        <v>2019</v>
      </c>
      <c r="K51">
        <v>2020</v>
      </c>
      <c r="L51">
        <v>2021</v>
      </c>
      <c r="Q51" s="19"/>
      <c r="R51" s="19"/>
    </row>
    <row r="52" spans="1:18">
      <c r="Q52" s="19"/>
      <c r="R52" s="19"/>
    </row>
    <row r="53" spans="1:18">
      <c r="A53" t="s">
        <v>29</v>
      </c>
      <c r="Q53" s="19"/>
      <c r="R53" s="19"/>
    </row>
    <row r="54" spans="1:18">
      <c r="A54" t="s">
        <v>30</v>
      </c>
      <c r="Q54" s="19"/>
      <c r="R54" s="19"/>
    </row>
    <row r="55" spans="1:18">
      <c r="A55" t="s">
        <v>31</v>
      </c>
      <c r="H55">
        <f>H154</f>
        <v>6006</v>
      </c>
      <c r="I55">
        <f t="shared" ref="I55:L55" si="23">I154</f>
        <v>8926</v>
      </c>
      <c r="J55">
        <f t="shared" si="23"/>
        <v>8926.3939858676622</v>
      </c>
      <c r="K55">
        <f t="shared" si="23"/>
        <v>8926.3938616852356</v>
      </c>
      <c r="L55">
        <f t="shared" si="23"/>
        <v>8926.3938612473303</v>
      </c>
      <c r="Q55" s="19"/>
      <c r="R55" s="19"/>
    </row>
    <row r="56" spans="1:18">
      <c r="A56" t="s">
        <v>32</v>
      </c>
      <c r="H56" s="3">
        <v>9352</v>
      </c>
      <c r="I56" s="3">
        <v>2025</v>
      </c>
      <c r="J56">
        <f>1.01*I56</f>
        <v>2045.25</v>
      </c>
      <c r="K56">
        <f>1.01*J56</f>
        <v>2065.7024999999999</v>
      </c>
      <c r="L56">
        <f t="shared" ref="L56" si="24">1.01*K56</f>
        <v>2086.3595249999998</v>
      </c>
      <c r="Q56" s="19"/>
      <c r="R56" s="19"/>
    </row>
    <row r="57" spans="1:18">
      <c r="A57" t="s">
        <v>33</v>
      </c>
      <c r="H57" s="3">
        <f>H55+H56</f>
        <v>15358</v>
      </c>
      <c r="I57" s="3">
        <f>I55+I56</f>
        <v>10951</v>
      </c>
      <c r="J57" s="3">
        <f t="shared" ref="J57:L57" si="25">J55+J56</f>
        <v>10971.643985867662</v>
      </c>
      <c r="K57" s="3">
        <f t="shared" si="25"/>
        <v>10992.096361685235</v>
      </c>
      <c r="L57" s="3">
        <f t="shared" si="25"/>
        <v>11012.75338624733</v>
      </c>
      <c r="Q57" s="19"/>
      <c r="R57" s="19"/>
    </row>
    <row r="58" spans="1:18">
      <c r="Q58" s="19"/>
      <c r="R58" s="19"/>
    </row>
    <row r="59" spans="1:18">
      <c r="A59" t="s">
        <v>34</v>
      </c>
      <c r="H59" s="3">
        <v>5317</v>
      </c>
      <c r="I59" s="3">
        <v>5013</v>
      </c>
      <c r="Q59" s="19"/>
      <c r="R59" s="19"/>
    </row>
    <row r="60" spans="1:18">
      <c r="A60" t="s">
        <v>35</v>
      </c>
      <c r="H60" s="3">
        <v>3667</v>
      </c>
      <c r="I60" s="3">
        <v>3396</v>
      </c>
      <c r="J60" s="3">
        <f>I60-489-477</f>
        <v>2430</v>
      </c>
      <c r="K60" s="3">
        <f>J60-489-477</f>
        <v>1464</v>
      </c>
      <c r="L60" s="3">
        <f>K60-489-477</f>
        <v>498</v>
      </c>
      <c r="Q60" s="19"/>
      <c r="R60" s="19"/>
    </row>
    <row r="61" spans="1:18">
      <c r="A61" t="s">
        <v>36</v>
      </c>
      <c r="H61" s="3">
        <v>2655</v>
      </c>
      <c r="I61" s="3">
        <v>2766</v>
      </c>
      <c r="J61">
        <f>2700</f>
        <v>2700</v>
      </c>
      <c r="K61">
        <v>2760</v>
      </c>
      <c r="L61">
        <v>2700</v>
      </c>
      <c r="Q61" s="19"/>
      <c r="R61" s="19"/>
    </row>
    <row r="62" spans="1:18">
      <c r="A62" t="s">
        <v>37</v>
      </c>
      <c r="H62" s="3">
        <v>2000</v>
      </c>
      <c r="I62" s="3">
        <v>1962</v>
      </c>
      <c r="J62">
        <v>1900</v>
      </c>
      <c r="K62">
        <v>1960</v>
      </c>
      <c r="L62">
        <v>1900</v>
      </c>
      <c r="Q62" s="19"/>
      <c r="R62" s="19"/>
    </row>
    <row r="63" spans="1:18">
      <c r="A63" t="s">
        <v>38</v>
      </c>
      <c r="H63">
        <v>219</v>
      </c>
      <c r="I63" s="3">
        <v>0</v>
      </c>
      <c r="J63">
        <v>0</v>
      </c>
      <c r="K63">
        <f>15867</f>
        <v>15867</v>
      </c>
      <c r="L63">
        <v>28000</v>
      </c>
      <c r="Q63" s="19"/>
      <c r="R63" s="19"/>
    </row>
    <row r="64" spans="1:18">
      <c r="A64" t="s">
        <v>39</v>
      </c>
      <c r="H64" s="3">
        <v>7329</v>
      </c>
      <c r="I64" s="3">
        <v>6546</v>
      </c>
      <c r="L64">
        <v>20084</v>
      </c>
      <c r="Q64" s="19"/>
      <c r="R64" s="19"/>
    </row>
    <row r="65" spans="1:18">
      <c r="A65" s="6" t="s">
        <v>40</v>
      </c>
      <c r="B65" s="6"/>
      <c r="C65" s="6"/>
      <c r="D65" s="6"/>
      <c r="E65" s="6"/>
      <c r="H65" s="7">
        <f>SUM(H57:H64)</f>
        <v>36545</v>
      </c>
      <c r="I65" s="7">
        <f>SUM(I57:I64)</f>
        <v>30634</v>
      </c>
      <c r="J65" s="7">
        <f t="shared" ref="J65:L65" si="26">SUM(J57:J64)</f>
        <v>18001.64398586766</v>
      </c>
      <c r="K65" s="7">
        <f t="shared" si="26"/>
        <v>33043.096361685239</v>
      </c>
      <c r="L65" s="7">
        <f t="shared" si="26"/>
        <v>64194.753386247328</v>
      </c>
      <c r="Q65" s="19"/>
      <c r="R65" s="19"/>
    </row>
    <row r="66" spans="1:18">
      <c r="A66" t="s">
        <v>41</v>
      </c>
      <c r="H66" s="3">
        <v>20856</v>
      </c>
      <c r="I66" s="3">
        <v>19407</v>
      </c>
      <c r="J66">
        <f>0.95*I66</f>
        <v>18436.649999999998</v>
      </c>
      <c r="K66">
        <f t="shared" ref="K66:L66" si="27">0.95*J66</f>
        <v>17514.817499999997</v>
      </c>
      <c r="L66">
        <f t="shared" si="27"/>
        <v>16639.076624999998</v>
      </c>
      <c r="Q66" s="19"/>
      <c r="R66" s="19"/>
    </row>
    <row r="67" spans="1:18">
      <c r="A67" t="s">
        <v>42</v>
      </c>
      <c r="H67" s="3">
        <v>1096</v>
      </c>
      <c r="I67">
        <v>867</v>
      </c>
      <c r="J67">
        <f>0.95*I67</f>
        <v>823.65</v>
      </c>
      <c r="K67">
        <f t="shared" ref="K67:L67" si="28">0.95*J67</f>
        <v>782.46749999999997</v>
      </c>
      <c r="L67">
        <f t="shared" si="28"/>
        <v>743.34412499999996</v>
      </c>
      <c r="Q67" s="19"/>
      <c r="R67" s="19"/>
    </row>
    <row r="68" spans="1:18">
      <c r="A68" t="s">
        <v>43</v>
      </c>
      <c r="H68" s="3">
        <v>4230</v>
      </c>
      <c r="I68" s="3">
        <v>4139</v>
      </c>
      <c r="J68" s="3">
        <f>I68</f>
        <v>4139</v>
      </c>
      <c r="K68" s="3">
        <f>I68</f>
        <v>4139</v>
      </c>
      <c r="L68" s="3">
        <f>K68</f>
        <v>4139</v>
      </c>
      <c r="Q68" s="19"/>
      <c r="R68" s="19"/>
    </row>
    <row r="69" spans="1:18">
      <c r="A69" t="s">
        <v>44</v>
      </c>
      <c r="H69" s="3">
        <v>330</v>
      </c>
      <c r="I69" s="3">
        <v>2667</v>
      </c>
      <c r="J69">
        <v>0</v>
      </c>
      <c r="K69">
        <v>15867</v>
      </c>
      <c r="L69">
        <v>0</v>
      </c>
      <c r="Q69" s="19"/>
      <c r="R69" s="19"/>
    </row>
    <row r="70" spans="1:18">
      <c r="A70" t="s">
        <v>45</v>
      </c>
      <c r="H70" s="3">
        <v>8203</v>
      </c>
      <c r="I70" s="3">
        <v>8232</v>
      </c>
      <c r="J70" s="3">
        <f>I70-J106</f>
        <v>6965.9846709950116</v>
      </c>
      <c r="K70" s="3">
        <f>J70-K106</f>
        <v>5507.2744923550208</v>
      </c>
      <c r="L70" s="3">
        <f>K70-L106</f>
        <v>3833.2619312062625</v>
      </c>
      <c r="Q70" s="19"/>
      <c r="R70" s="19"/>
    </row>
    <row r="71" spans="1:18">
      <c r="A71" t="s">
        <v>46</v>
      </c>
      <c r="H71" s="3">
        <v>6729</v>
      </c>
      <c r="I71" s="3">
        <v>6682</v>
      </c>
      <c r="J71">
        <f>0.99*I71</f>
        <v>6615.18</v>
      </c>
      <c r="K71">
        <f t="shared" ref="K71:L71" si="29">0.99*J71</f>
        <v>6549.0282000000007</v>
      </c>
      <c r="L71">
        <f t="shared" si="29"/>
        <v>6483.5379180000009</v>
      </c>
      <c r="Q71" s="19"/>
      <c r="R71" s="19"/>
    </row>
    <row r="72" spans="1:18">
      <c r="A72" t="s">
        <v>47</v>
      </c>
      <c r="H72">
        <v>138</v>
      </c>
      <c r="I72">
        <v>51</v>
      </c>
      <c r="J72">
        <v>29685</v>
      </c>
      <c r="K72">
        <v>0</v>
      </c>
      <c r="L72">
        <v>0</v>
      </c>
      <c r="Q72" s="19"/>
      <c r="R72" s="19"/>
    </row>
    <row r="73" spans="1:18">
      <c r="A73" t="s">
        <v>48</v>
      </c>
      <c r="H73" s="3">
        <v>9401</v>
      </c>
      <c r="I73" s="3">
        <v>10263</v>
      </c>
      <c r="J73">
        <f>((I73-H73)/H73)+1*(I73)</f>
        <v>10263.091692373151</v>
      </c>
      <c r="K73">
        <f t="shared" ref="K73:L73" si="30">((J73-I73)/I73)+1*(J73)</f>
        <v>10263.091701307418</v>
      </c>
      <c r="L73">
        <f t="shared" si="30"/>
        <v>10263.091701308289</v>
      </c>
      <c r="Q73" s="19"/>
      <c r="R73" s="19"/>
    </row>
    <row r="74" spans="1:18">
      <c r="A74" t="s">
        <v>49</v>
      </c>
      <c r="H74" s="3">
        <v>368</v>
      </c>
      <c r="I74" s="3">
        <v>274</v>
      </c>
      <c r="J74">
        <f>0.95*I74</f>
        <v>260.3</v>
      </c>
      <c r="K74">
        <f t="shared" ref="K74:L74" si="31">0.95*J74</f>
        <v>247.285</v>
      </c>
      <c r="L74">
        <f t="shared" si="31"/>
        <v>234.92075</v>
      </c>
      <c r="Q74" s="19"/>
      <c r="R74" s="19"/>
    </row>
    <row r="75" spans="1:18">
      <c r="A75" s="6" t="s">
        <v>50</v>
      </c>
      <c r="B75" s="6"/>
      <c r="C75" s="6"/>
      <c r="D75" s="6"/>
      <c r="E75" s="6"/>
      <c r="H75" s="7">
        <f>SUM(H65:H74)</f>
        <v>87896</v>
      </c>
      <c r="I75" s="7">
        <f>SUM(I65:I74)</f>
        <v>83216</v>
      </c>
      <c r="J75" s="7">
        <f t="shared" ref="J75:L75" si="32">SUM(J65:J74)</f>
        <v>95190.500349235823</v>
      </c>
      <c r="K75" s="7">
        <f t="shared" si="32"/>
        <v>93913.060755347673</v>
      </c>
      <c r="L75" s="7">
        <f t="shared" si="32"/>
        <v>106530.98643676189</v>
      </c>
      <c r="Q75" s="19"/>
      <c r="R75" s="19"/>
    </row>
    <row r="76" spans="1:18">
      <c r="A76" t="s">
        <v>51</v>
      </c>
      <c r="Q76" s="19"/>
      <c r="R76" s="19"/>
    </row>
    <row r="77" spans="1:18">
      <c r="A77" t="s">
        <v>52</v>
      </c>
      <c r="Q77" s="19"/>
      <c r="R77" s="19"/>
    </row>
    <row r="78" spans="1:18">
      <c r="A78" t="s">
        <v>53</v>
      </c>
      <c r="H78" s="3">
        <v>8748</v>
      </c>
      <c r="I78" s="3">
        <v>8932</v>
      </c>
      <c r="J78">
        <f>1.1*I78</f>
        <v>9825.2000000000007</v>
      </c>
      <c r="K78">
        <f t="shared" ref="K78:L78" si="33">1.1*J78</f>
        <v>10807.720000000001</v>
      </c>
      <c r="L78">
        <f t="shared" si="33"/>
        <v>11888.492000000002</v>
      </c>
      <c r="Q78" s="19"/>
      <c r="R78" s="19"/>
    </row>
    <row r="79" spans="1:18">
      <c r="A79" t="s">
        <v>54</v>
      </c>
      <c r="H79" s="3">
        <v>13205</v>
      </c>
      <c r="I79" s="3">
        <v>13194</v>
      </c>
      <c r="J79">
        <f t="shared" ref="J79:L79" si="34">1.1*I79</f>
        <v>14513.400000000001</v>
      </c>
      <c r="K79">
        <f t="shared" si="34"/>
        <v>15964.740000000003</v>
      </c>
      <c r="L79">
        <f t="shared" si="34"/>
        <v>17561.214000000004</v>
      </c>
      <c r="Q79" s="19"/>
      <c r="R79" s="19"/>
    </row>
    <row r="80" spans="1:18">
      <c r="A80" t="s">
        <v>55</v>
      </c>
      <c r="H80" s="3">
        <v>3298</v>
      </c>
      <c r="I80" s="3">
        <v>4997</v>
      </c>
      <c r="J80">
        <f t="shared" ref="J80:L80" si="35">1.1*I80</f>
        <v>5496.7000000000007</v>
      </c>
      <c r="K80">
        <f t="shared" si="35"/>
        <v>6046.3700000000017</v>
      </c>
      <c r="L80">
        <f t="shared" si="35"/>
        <v>6651.0070000000023</v>
      </c>
      <c r="Q80" s="19"/>
      <c r="R80" s="19"/>
    </row>
    <row r="81" spans="1:14">
      <c r="A81" t="s">
        <v>56</v>
      </c>
      <c r="H81" s="3">
        <v>410</v>
      </c>
      <c r="I81">
        <v>378</v>
      </c>
      <c r="J81">
        <f t="shared" ref="J81:L81" si="36">1.1*I81</f>
        <v>415.8</v>
      </c>
      <c r="K81">
        <f t="shared" si="36"/>
        <v>457.38000000000005</v>
      </c>
      <c r="L81">
        <f t="shared" si="36"/>
        <v>503.11800000000011</v>
      </c>
    </row>
    <row r="82" spans="1:14">
      <c r="A82" t="s">
        <v>57</v>
      </c>
      <c r="H82" s="3">
        <v>37</v>
      </c>
      <c r="I82" s="3">
        <v>0</v>
      </c>
      <c r="J82">
        <f t="shared" ref="J82:L82" si="37">1.1*I82</f>
        <v>0</v>
      </c>
      <c r="K82">
        <f t="shared" si="37"/>
        <v>0</v>
      </c>
      <c r="L82">
        <f t="shared" si="37"/>
        <v>0</v>
      </c>
    </row>
    <row r="83" spans="1:14">
      <c r="A83" t="s">
        <v>57</v>
      </c>
      <c r="H83" s="3">
        <v>1496</v>
      </c>
      <c r="I83" s="3">
        <v>1722</v>
      </c>
      <c r="J83">
        <f t="shared" ref="J83:L83" si="38">1.1*I83</f>
        <v>1894.2</v>
      </c>
      <c r="K83">
        <f t="shared" si="38"/>
        <v>2083.6200000000003</v>
      </c>
      <c r="L83">
        <f t="shared" si="38"/>
        <v>2291.9820000000004</v>
      </c>
    </row>
    <row r="84" spans="1:14">
      <c r="A84" s="6" t="s">
        <v>58</v>
      </c>
      <c r="B84" s="6"/>
      <c r="C84" s="6"/>
      <c r="D84" s="6"/>
      <c r="E84" s="6"/>
      <c r="H84" s="7">
        <f>SUM(H78:H83)</f>
        <v>27194</v>
      </c>
      <c r="I84" s="7">
        <f>SUM(I78:I83)</f>
        <v>29223</v>
      </c>
      <c r="J84" s="7">
        <f t="shared" ref="J84:L84" si="39">SUM(J78:J83)</f>
        <v>32145.300000000003</v>
      </c>
      <c r="K84" s="7">
        <f t="shared" si="39"/>
        <v>35359.830000000009</v>
      </c>
      <c r="L84" s="7">
        <f t="shared" si="39"/>
        <v>38895.813000000016</v>
      </c>
    </row>
    <row r="85" spans="1:14">
      <c r="A85" t="s">
        <v>59</v>
      </c>
      <c r="H85" s="3">
        <v>31182</v>
      </c>
      <c r="I85" s="3">
        <v>25364</v>
      </c>
      <c r="J85">
        <f>-((I85-H85)/H85)+1*(H85)</f>
        <v>31182.186582002436</v>
      </c>
      <c r="K85">
        <f t="shared" ref="K85:L85" si="40">-((J85-I85)/I85)+1*(I85)</f>
        <v>25363.770612419885</v>
      </c>
      <c r="L85">
        <f t="shared" si="40"/>
        <v>31182.373176228415</v>
      </c>
    </row>
    <row r="86" spans="1:14">
      <c r="A86" t="s">
        <v>60</v>
      </c>
      <c r="H86" s="3">
        <v>8021</v>
      </c>
      <c r="I86" s="3">
        <v>7638</v>
      </c>
      <c r="J86">
        <f t="shared" ref="J86:J87" si="41">-((I86-H86)/H86)+1*(H86)</f>
        <v>8021.0477496571502</v>
      </c>
      <c r="K86">
        <f t="shared" ref="K86:K87" si="42">-((J86-I86)/I86)+1*(I86)</f>
        <v>7637.9498497316499</v>
      </c>
      <c r="L86">
        <f t="shared" ref="L86:L87" si="43">-((K86-J86)/J86)+1*(J86)</f>
        <v>8021.0955112354231</v>
      </c>
    </row>
    <row r="87" spans="1:14">
      <c r="A87" t="s">
        <v>61</v>
      </c>
      <c r="H87" s="3">
        <v>2522</v>
      </c>
      <c r="I87" s="3">
        <v>1933</v>
      </c>
      <c r="J87">
        <f t="shared" si="41"/>
        <v>2522.2335448057097</v>
      </c>
      <c r="K87">
        <f t="shared" si="42"/>
        <v>1932.695171471906</v>
      </c>
      <c r="L87">
        <f t="shared" si="43"/>
        <v>2522.4672814374931</v>
      </c>
    </row>
    <row r="88" spans="1:14">
      <c r="A88" t="s">
        <v>62</v>
      </c>
    </row>
    <row r="89" spans="1:14">
      <c r="A89" t="s">
        <v>63</v>
      </c>
    </row>
    <row r="90" spans="1:14">
      <c r="A90" t="s">
        <v>64</v>
      </c>
      <c r="H90" s="3">
        <v>1760</v>
      </c>
      <c r="I90" s="3">
        <v>1760</v>
      </c>
      <c r="J90" s="3">
        <f>I90</f>
        <v>1760</v>
      </c>
      <c r="K90" s="3">
        <f>J90</f>
        <v>1760</v>
      </c>
      <c r="L90" s="3">
        <f>K90</f>
        <v>1760</v>
      </c>
      <c r="N90" s="3"/>
    </row>
    <row r="91" spans="1:14">
      <c r="A91" t="s">
        <v>65</v>
      </c>
      <c r="H91">
        <v>15864</v>
      </c>
      <c r="I91" s="3">
        <v>16520</v>
      </c>
      <c r="J91">
        <f>I91*1.2</f>
        <v>19824</v>
      </c>
      <c r="K91">
        <f t="shared" ref="K91:L91" si="44">J91*1.2</f>
        <v>23788.799999999999</v>
      </c>
      <c r="L91">
        <f t="shared" si="44"/>
        <v>28546.559999999998</v>
      </c>
    </row>
    <row r="92" spans="1:14">
      <c r="A92" t="s">
        <v>66</v>
      </c>
      <c r="H92">
        <v>60430</v>
      </c>
      <c r="I92" s="3">
        <v>63234</v>
      </c>
      <c r="J92" s="20">
        <f>((I92-H92)/H92*I92)+1*(I92)</f>
        <v>66168.107827238127</v>
      </c>
      <c r="K92" s="20">
        <f>((J92-I92)/I92*J92)+1*(J92)</f>
        <v>69238.360588243842</v>
      </c>
      <c r="L92" s="20">
        <f>((K92-J92)/J92*K92)+1*(K92)</f>
        <v>72451.075516084908</v>
      </c>
      <c r="N92" s="3"/>
    </row>
    <row r="93" spans="1:14">
      <c r="A93" t="s">
        <v>67</v>
      </c>
      <c r="H93">
        <v>-10305</v>
      </c>
      <c r="I93" s="3">
        <v>-12814</v>
      </c>
      <c r="J93" s="20">
        <f>((I93-H93)/H93*I93)+1*(I93)</f>
        <v>-15933.876370693837</v>
      </c>
      <c r="K93" s="20">
        <f t="shared" ref="K93:L93" si="45">((J93-I93)/I93*J93)+1*(J93)</f>
        <v>-19813.361651050054</v>
      </c>
      <c r="L93" s="20">
        <f t="shared" si="45"/>
        <v>-24637.400892436232</v>
      </c>
    </row>
    <row r="94" spans="1:14">
      <c r="A94" t="s">
        <v>68</v>
      </c>
      <c r="H94">
        <v>-50677</v>
      </c>
      <c r="I94" s="3">
        <v>-51719</v>
      </c>
      <c r="J94" s="20">
        <f>((I94-H94)/H94*I94)+1*(I94)</f>
        <v>-52782.425183021885</v>
      </c>
      <c r="K94" s="20">
        <f t="shared" ref="K94:L94" si="46">((J94-I94)/I94*J94)+1*(J94)</f>
        <v>-53867.71608502297</v>
      </c>
      <c r="L94" s="20">
        <f t="shared" si="46"/>
        <v>-54975.322300082938</v>
      </c>
    </row>
    <row r="95" spans="1:14">
      <c r="A95" s="6" t="s">
        <v>69</v>
      </c>
      <c r="B95" s="6"/>
      <c r="C95" s="6"/>
      <c r="D95" s="6"/>
      <c r="E95" s="6"/>
      <c r="H95" s="7">
        <f>SUM(H90:H94)</f>
        <v>17072</v>
      </c>
      <c r="I95" s="7">
        <f>SUM(I90:I94)</f>
        <v>16981</v>
      </c>
      <c r="J95" s="7">
        <f t="shared" ref="J95:L95" si="47">SUM(J90:J94)</f>
        <v>19035.806273522408</v>
      </c>
      <c r="K95" s="7">
        <f t="shared" si="47"/>
        <v>21106.082852170817</v>
      </c>
      <c r="L95" s="7">
        <f t="shared" si="47"/>
        <v>23144.912323565739</v>
      </c>
    </row>
    <row r="96" spans="1:14">
      <c r="A96" s="9" t="s">
        <v>70</v>
      </c>
      <c r="B96" s="9"/>
      <c r="C96" s="9"/>
      <c r="D96" s="9"/>
      <c r="E96" s="9"/>
      <c r="H96" s="9">
        <v>1905</v>
      </c>
      <c r="I96" s="10">
        <v>2077</v>
      </c>
      <c r="J96" s="10">
        <f>1.1*I96</f>
        <v>2284.7000000000003</v>
      </c>
      <c r="K96" s="10">
        <f t="shared" ref="K96:L96" si="48">1.1*J96</f>
        <v>2513.1700000000005</v>
      </c>
      <c r="L96" s="10">
        <f t="shared" si="48"/>
        <v>2764.487000000001</v>
      </c>
    </row>
    <row r="97" spans="1:12">
      <c r="A97" s="9" t="s">
        <v>71</v>
      </c>
      <c r="B97" s="9"/>
      <c r="C97" s="9"/>
      <c r="D97" s="9"/>
      <c r="E97" s="9"/>
      <c r="H97" s="10">
        <f>H95+H96</f>
        <v>18977</v>
      </c>
      <c r="I97" s="10">
        <f>I95+I96</f>
        <v>19058</v>
      </c>
      <c r="J97" s="10">
        <f t="shared" ref="J97:L97" si="49">J95+J96</f>
        <v>21320.506273522409</v>
      </c>
      <c r="K97" s="10">
        <f t="shared" si="49"/>
        <v>23619.252852170819</v>
      </c>
      <c r="L97" s="10">
        <f t="shared" si="49"/>
        <v>25909.39932356574</v>
      </c>
    </row>
    <row r="98" spans="1:12">
      <c r="A98" s="9" t="s">
        <v>72</v>
      </c>
      <c r="B98" s="9"/>
      <c r="C98" s="9"/>
      <c r="D98" s="9"/>
      <c r="E98" s="9"/>
      <c r="H98" s="10">
        <f>H97+H84+H85+H86+H87</f>
        <v>87896</v>
      </c>
      <c r="I98" s="10">
        <f>I97+I84+I85+I86+I87</f>
        <v>83216</v>
      </c>
      <c r="J98" s="10">
        <f t="shared" ref="J98:L98" si="50">J97+J84+J85+J86+J87</f>
        <v>95191.274149987716</v>
      </c>
      <c r="K98" s="10">
        <f t="shared" si="50"/>
        <v>93913.498485794276</v>
      </c>
      <c r="L98" s="10">
        <f t="shared" si="50"/>
        <v>106531.14829246709</v>
      </c>
    </row>
    <row r="101" spans="1:12">
      <c r="A101" s="9" t="s">
        <v>73</v>
      </c>
      <c r="G101">
        <v>2016</v>
      </c>
      <c r="H101">
        <v>2017</v>
      </c>
      <c r="I101">
        <v>2018</v>
      </c>
      <c r="J101">
        <v>2019</v>
      </c>
      <c r="K101">
        <v>2020</v>
      </c>
      <c r="L101">
        <v>2021</v>
      </c>
    </row>
    <row r="102" spans="1:12">
      <c r="A102" s="11" t="s">
        <v>74</v>
      </c>
    </row>
    <row r="103" spans="1:12">
      <c r="A103" t="s">
        <v>75</v>
      </c>
      <c r="G103" s="3">
        <f>G28</f>
        <v>6527</v>
      </c>
      <c r="H103" s="3">
        <f>H28</f>
        <v>1248</v>
      </c>
      <c r="I103" s="3">
        <f>I28</f>
        <v>6434</v>
      </c>
      <c r="J103">
        <f>J28</f>
        <v>21790.320498052923</v>
      </c>
      <c r="K103">
        <f t="shared" ref="K103:L103" si="51">K28</f>
        <v>42725.496042297986</v>
      </c>
      <c r="L103">
        <f t="shared" si="51"/>
        <v>65061.747420394742</v>
      </c>
    </row>
    <row r="104" spans="1:12">
      <c r="A104" t="s">
        <v>76</v>
      </c>
      <c r="G104">
        <v>251</v>
      </c>
      <c r="H104">
        <v>-101</v>
      </c>
      <c r="I104">
        <f>0</f>
        <v>0</v>
      </c>
    </row>
    <row r="105" spans="1:12" ht="15.75">
      <c r="A105" s="12" t="s">
        <v>15</v>
      </c>
      <c r="B105" s="12"/>
      <c r="C105" s="12"/>
      <c r="D105" s="12"/>
      <c r="E105" s="12"/>
      <c r="F105" s="12"/>
      <c r="G105" s="13">
        <f>G103+G104</f>
        <v>6778</v>
      </c>
      <c r="H105" s="13">
        <f t="shared" ref="H105:L105" si="52">H103+H104</f>
        <v>1147</v>
      </c>
      <c r="I105" s="13">
        <f t="shared" si="52"/>
        <v>6434</v>
      </c>
      <c r="J105" s="13">
        <f t="shared" si="52"/>
        <v>21790.320498052923</v>
      </c>
      <c r="K105" s="13">
        <f t="shared" si="52"/>
        <v>42725.496042297986</v>
      </c>
      <c r="L105" s="13">
        <f t="shared" si="52"/>
        <v>65061.747420394742</v>
      </c>
    </row>
    <row r="106" spans="1:12">
      <c r="A106" t="s">
        <v>77</v>
      </c>
      <c r="G106" s="3">
        <v>1787</v>
      </c>
      <c r="H106" s="3">
        <v>1260</v>
      </c>
      <c r="I106" s="3">
        <v>1086</v>
      </c>
      <c r="J106">
        <f>I106*(1+W131)</f>
        <v>1266.0153290049886</v>
      </c>
      <c r="K106">
        <f t="shared" ref="K106:L106" si="53">J106*(1+X131)</f>
        <v>1458.7101786399908</v>
      </c>
      <c r="L106">
        <f t="shared" si="53"/>
        <v>1674.0125611487583</v>
      </c>
    </row>
    <row r="107" spans="1:12">
      <c r="A107" t="s">
        <v>78</v>
      </c>
      <c r="G107">
        <v>258</v>
      </c>
      <c r="H107" s="3">
        <v>219</v>
      </c>
      <c r="I107">
        <v>225</v>
      </c>
      <c r="J107">
        <f>I107*(1+W132)</f>
        <v>231.33915734579136</v>
      </c>
      <c r="K107">
        <f t="shared" ref="K107" si="54">J107*(1+X132)</f>
        <v>237.73134038936686</v>
      </c>
      <c r="L107">
        <f>K107*(1+Y132)</f>
        <v>244.20296763021565</v>
      </c>
    </row>
    <row r="108" spans="1:12">
      <c r="A108" t="s">
        <v>79</v>
      </c>
      <c r="G108" s="3">
        <v>-856</v>
      </c>
      <c r="H108" s="3">
        <v>-1256</v>
      </c>
      <c r="I108" s="3">
        <v>-450</v>
      </c>
      <c r="J108">
        <f>I108*(1*V133)</f>
        <v>31.473422443270128</v>
      </c>
      <c r="K108">
        <f t="shared" ref="K108:L108" si="55">J108*(1*W133)</f>
        <v>-12.668039274258046</v>
      </c>
      <c r="L108">
        <f t="shared" si="55"/>
        <v>6.2447132281434774</v>
      </c>
    </row>
    <row r="109" spans="1:12">
      <c r="A109" t="s">
        <v>80</v>
      </c>
      <c r="G109" s="3">
        <v>-449</v>
      </c>
      <c r="H109" s="3">
        <v>-628</v>
      </c>
      <c r="I109" s="3">
        <v>-457</v>
      </c>
      <c r="J109" s="3">
        <f>I109*(1+V134)</f>
        <v>-424.53978862294065</v>
      </c>
      <c r="K109" s="3">
        <f t="shared" ref="K109:L109" si="56">J109*(1+W134)</f>
        <v>-335.93839424901404</v>
      </c>
      <c r="L109" s="3">
        <f t="shared" si="56"/>
        <v>-248.26587553449161</v>
      </c>
    </row>
    <row r="110" spans="1:12">
      <c r="A110" t="s">
        <v>81</v>
      </c>
      <c r="G110" s="3">
        <v>158</v>
      </c>
      <c r="H110" s="3">
        <v>281</v>
      </c>
      <c r="I110" s="3">
        <v>-38</v>
      </c>
      <c r="J110" s="3">
        <f>I110*(1+V135)</f>
        <v>-37.834022988505744</v>
      </c>
      <c r="K110" s="3">
        <f t="shared" ref="K110:L110" si="57">J110*(1+W135)</f>
        <v>-38.476073754986103</v>
      </c>
      <c r="L110" s="3">
        <f t="shared" si="57"/>
        <v>-39.112591853011359</v>
      </c>
    </row>
    <row r="111" spans="1:12">
      <c r="A111" t="s">
        <v>82</v>
      </c>
      <c r="G111" s="3">
        <v>1146</v>
      </c>
      <c r="H111" s="3">
        <v>1459</v>
      </c>
      <c r="I111" s="3">
        <v>189</v>
      </c>
      <c r="J111" s="3">
        <f>I111+(W136+1)</f>
        <v>189.93761812379768</v>
      </c>
      <c r="K111" s="3">
        <v>0</v>
      </c>
      <c r="L111" s="3">
        <v>0</v>
      </c>
    </row>
    <row r="112" spans="1:12">
      <c r="A112" t="s">
        <v>83</v>
      </c>
      <c r="G112" s="3">
        <v>647</v>
      </c>
      <c r="H112" s="3">
        <v>1218</v>
      </c>
      <c r="I112" s="3">
        <v>558</v>
      </c>
      <c r="J112">
        <f>1.02*(1+I112)</f>
        <v>570.18000000000006</v>
      </c>
      <c r="K112">
        <f t="shared" ref="K112:L112" si="58">1.02*J112</f>
        <v>581.58360000000005</v>
      </c>
      <c r="L112">
        <f t="shared" si="58"/>
        <v>593.21527200000003</v>
      </c>
    </row>
    <row r="113" spans="1:28">
      <c r="A113" t="s">
        <v>84</v>
      </c>
      <c r="G113" s="3">
        <v>-224</v>
      </c>
      <c r="H113" s="3">
        <v>-269</v>
      </c>
      <c r="I113" s="3">
        <v>682</v>
      </c>
      <c r="J113">
        <f>I113*(W137+1)</f>
        <v>750.05691455077658</v>
      </c>
      <c r="K113">
        <f t="shared" ref="K113:L113" si="59">J113*1.02</f>
        <v>765.05805284179212</v>
      </c>
      <c r="L113">
        <f t="shared" si="59"/>
        <v>780.35921389862801</v>
      </c>
    </row>
    <row r="114" spans="1:28">
      <c r="A114" t="s">
        <v>85</v>
      </c>
      <c r="G114" s="3">
        <v>-225</v>
      </c>
      <c r="H114" s="3">
        <v>3464</v>
      </c>
      <c r="I114" s="3">
        <v>-1202</v>
      </c>
      <c r="J114" s="3">
        <f>AVERAGE(G114:I114)</f>
        <v>679</v>
      </c>
      <c r="K114" s="3">
        <f t="shared" ref="K114:L114" si="60">AVERAGE(H114:J114)</f>
        <v>980.33333333333337</v>
      </c>
      <c r="L114" s="3">
        <f t="shared" si="60"/>
        <v>152.44444444444446</v>
      </c>
    </row>
    <row r="115" spans="1:28">
      <c r="A115" s="6" t="s">
        <v>86</v>
      </c>
      <c r="B115" s="6"/>
      <c r="C115" s="6"/>
      <c r="D115" s="6"/>
      <c r="E115" s="6"/>
      <c r="F115" s="6"/>
      <c r="G115" s="7">
        <f>SUM(G105:G114)</f>
        <v>9020</v>
      </c>
      <c r="H115" s="7">
        <f t="shared" ref="H115:I115" si="61">SUM(H105:H114)</f>
        <v>6895</v>
      </c>
      <c r="I115" s="7">
        <f t="shared" si="61"/>
        <v>7027</v>
      </c>
      <c r="J115" s="7">
        <f t="shared" ref="J115" si="62">SUM(J105:J114)</f>
        <v>25045.949127910098</v>
      </c>
      <c r="K115" s="7">
        <f t="shared" ref="K115" si="63">SUM(K105:K114)</f>
        <v>46361.830040224209</v>
      </c>
      <c r="L115" s="7">
        <f t="shared" ref="L115" si="64">SUM(L105:L114)</f>
        <v>68224.848125357414</v>
      </c>
    </row>
    <row r="117" spans="1:28">
      <c r="A117" t="s">
        <v>87</v>
      </c>
    </row>
    <row r="118" spans="1:28">
      <c r="A118" t="s">
        <v>88</v>
      </c>
      <c r="G118">
        <v>-16626</v>
      </c>
      <c r="H118">
        <v>-17296</v>
      </c>
      <c r="I118">
        <v>-7789</v>
      </c>
      <c r="J118">
        <f>I118*(1+W142)</f>
        <v>-5924.180552676572</v>
      </c>
      <c r="K118">
        <f t="shared" ref="K118:L118" si="65">J118*(1+X142)</f>
        <v>-4224.2015050087866</v>
      </c>
      <c r="L118">
        <f t="shared" si="65"/>
        <v>-3314.7122393315371</v>
      </c>
    </row>
    <row r="119" spans="1:28">
      <c r="A119" t="s">
        <v>89</v>
      </c>
      <c r="G119">
        <v>17842</v>
      </c>
      <c r="H119">
        <v>16694</v>
      </c>
      <c r="I119">
        <v>14977</v>
      </c>
      <c r="J119" s="3">
        <f>(I66-J66)+I67-J67</f>
        <v>1013.7000000000022</v>
      </c>
      <c r="K119" s="3">
        <f>(J66-K66)+J67-K67</f>
        <v>963.01500000000055</v>
      </c>
      <c r="L119" s="3">
        <f t="shared" ref="L119" si="66">(K66-L66)+K67-L67</f>
        <v>914.86424999999952</v>
      </c>
    </row>
    <row r="120" spans="1:28">
      <c r="A120" t="s">
        <v>90</v>
      </c>
      <c r="G120">
        <v>-838</v>
      </c>
      <c r="H120">
        <v>-3809</v>
      </c>
      <c r="I120">
        <v>-1040</v>
      </c>
      <c r="J120">
        <f>I120*(W142)</f>
        <v>248.99373799157343</v>
      </c>
      <c r="K120">
        <f t="shared" ref="K120:L120" si="67">J120*(X142)</f>
        <v>-71.450242581636942</v>
      </c>
      <c r="L120">
        <f t="shared" si="67"/>
        <v>15.383553218515116</v>
      </c>
    </row>
    <row r="121" spans="1:28">
      <c r="A121" t="s">
        <v>91</v>
      </c>
      <c r="G121">
        <v>1035</v>
      </c>
      <c r="H121">
        <v>3821</v>
      </c>
      <c r="I121">
        <v>1362</v>
      </c>
      <c r="J121">
        <f>I121*(1+W142)</f>
        <v>1035.9139700533433</v>
      </c>
      <c r="K121">
        <f t="shared" ref="K121:L121" si="68">J121*(1+X142)</f>
        <v>738.65225957401037</v>
      </c>
      <c r="L121">
        <f t="shared" si="68"/>
        <v>579.61716137752649</v>
      </c>
    </row>
    <row r="122" spans="1:28">
      <c r="A122" t="s">
        <v>92</v>
      </c>
      <c r="G122">
        <v>2262</v>
      </c>
      <c r="H122">
        <v>1675</v>
      </c>
      <c r="I122">
        <v>1347</v>
      </c>
      <c r="J122">
        <f>I122*(1+W144)</f>
        <v>1587.7512408726864</v>
      </c>
      <c r="K122">
        <f t="shared" ref="K122:L122" si="69">J122*(1+X144)</f>
        <v>1808.3760226473698</v>
      </c>
      <c r="L122">
        <f t="shared" si="69"/>
        <v>2027.3632831934262</v>
      </c>
    </row>
    <row r="123" spans="1:28">
      <c r="A123" t="s">
        <v>93</v>
      </c>
      <c r="G123">
        <v>150</v>
      </c>
      <c r="H123">
        <v>104</v>
      </c>
      <c r="I123">
        <v>245</v>
      </c>
      <c r="J123">
        <f>I123*(1+W145)</f>
        <v>297.00804615731238</v>
      </c>
      <c r="K123">
        <v>210</v>
      </c>
      <c r="L123">
        <v>201</v>
      </c>
      <c r="T123">
        <v>2016</v>
      </c>
      <c r="U123">
        <v>2017</v>
      </c>
      <c r="V123">
        <v>2018</v>
      </c>
      <c r="W123">
        <v>2019</v>
      </c>
      <c r="X123">
        <v>2020</v>
      </c>
      <c r="Y123">
        <v>2021</v>
      </c>
    </row>
    <row r="124" spans="1:28">
      <c r="A124" t="s">
        <v>94</v>
      </c>
      <c r="G124">
        <v>-305</v>
      </c>
      <c r="H124">
        <v>-93</v>
      </c>
      <c r="I124">
        <v>-60</v>
      </c>
      <c r="J124">
        <f>I124*(1+T146)</f>
        <v>-60.547533787686262</v>
      </c>
      <c r="K124">
        <f t="shared" ref="K124:L124" si="70">J124*(1+U146)</f>
        <v>-59.821505908561285</v>
      </c>
      <c r="L124">
        <f t="shared" si="70"/>
        <v>-58.150629364218716</v>
      </c>
    </row>
    <row r="125" spans="1:28">
      <c r="A125" s="6" t="s">
        <v>132</v>
      </c>
      <c r="B125" s="6"/>
      <c r="C125" s="6"/>
      <c r="D125" s="6"/>
      <c r="E125" s="6"/>
      <c r="F125" s="6"/>
      <c r="G125" s="6">
        <f>SUM(G118:G124)</f>
        <v>3520</v>
      </c>
      <c r="H125" s="6">
        <f t="shared" ref="H125:I125" si="71">SUM(H118:H124)</f>
        <v>1096</v>
      </c>
      <c r="I125" s="6">
        <f t="shared" si="71"/>
        <v>9042</v>
      </c>
      <c r="J125" s="6">
        <f>SUM(J119:J124)</f>
        <v>4122.8194612872321</v>
      </c>
      <c r="K125" s="6">
        <f>SUM(K119:K124)</f>
        <v>3588.771533731182</v>
      </c>
      <c r="L125" s="6">
        <f>SUM(L119:L124)</f>
        <v>3680.0776184252486</v>
      </c>
      <c r="P125" t="s">
        <v>144</v>
      </c>
      <c r="T125">
        <f>G118</f>
        <v>-16626</v>
      </c>
      <c r="U125">
        <f t="shared" ref="U125:V125" si="72">H118</f>
        <v>-17296</v>
      </c>
      <c r="V125">
        <f t="shared" si="72"/>
        <v>-7789</v>
      </c>
      <c r="W125">
        <f>AVERAGE(T125:V125)</f>
        <v>-13903.666666666666</v>
      </c>
      <c r="X125">
        <f t="shared" ref="X125:Z125" si="73">AVERAGE(U125:W125)</f>
        <v>-12996.222222222221</v>
      </c>
      <c r="Y125">
        <f t="shared" si="73"/>
        <v>-11562.962962962962</v>
      </c>
      <c r="Z125">
        <f t="shared" si="73"/>
        <v>-12820.950617283948</v>
      </c>
    </row>
    <row r="127" spans="1:28">
      <c r="A127" t="s">
        <v>95</v>
      </c>
      <c r="P127" s="11" t="s">
        <v>74</v>
      </c>
      <c r="S127" s="18"/>
      <c r="T127" s="18"/>
      <c r="U127" s="18"/>
      <c r="V127" s="18"/>
      <c r="W127" s="18"/>
      <c r="X127" s="18"/>
      <c r="Y127" s="18"/>
      <c r="Z127" s="18"/>
      <c r="AA127" s="18"/>
      <c r="AB127" s="18"/>
    </row>
    <row r="128" spans="1:28">
      <c r="A128" t="s">
        <v>96</v>
      </c>
      <c r="G128">
        <v>27281</v>
      </c>
      <c r="H128">
        <v>29857</v>
      </c>
      <c r="I128">
        <v>27339</v>
      </c>
      <c r="J128">
        <f>I128*(1+W153)</f>
        <v>120546.61234642049</v>
      </c>
      <c r="K128">
        <f t="shared" ref="K128:L128" si="74">J128*(1+X153)</f>
        <v>541896.74323439237</v>
      </c>
      <c r="L128">
        <f t="shared" si="74"/>
        <v>2356721.7764791283</v>
      </c>
      <c r="P128" t="s">
        <v>75</v>
      </c>
    </row>
    <row r="129" spans="1:27">
      <c r="A129" t="s">
        <v>97</v>
      </c>
      <c r="G129">
        <v>-25615</v>
      </c>
      <c r="H129">
        <v>-28738</v>
      </c>
      <c r="I129">
        <v>-30568</v>
      </c>
      <c r="J129">
        <f>I129*(1+W154)</f>
        <v>73966.786628824237</v>
      </c>
      <c r="K129">
        <f t="shared" ref="K129:L129" si="75">J129*(1+X154)</f>
        <v>-190343.8012254847</v>
      </c>
      <c r="L129">
        <f t="shared" si="75"/>
        <v>476283.17372875294</v>
      </c>
      <c r="P129" t="s">
        <v>76</v>
      </c>
    </row>
    <row r="130" spans="1:27" ht="15.75">
      <c r="A130" t="s">
        <v>98</v>
      </c>
      <c r="G130">
        <v>1434</v>
      </c>
      <c r="H130">
        <v>1595</v>
      </c>
      <c r="I130">
        <v>1476</v>
      </c>
      <c r="J130">
        <f>I130*(+W155)</f>
        <v>268.37325152761485</v>
      </c>
      <c r="K130">
        <f t="shared" ref="K130:L130" si="76">J130*(+X155)</f>
        <v>50.244168040069553</v>
      </c>
      <c r="L130">
        <f t="shared" si="76"/>
        <v>9.0221336295683816</v>
      </c>
      <c r="P130" s="12" t="s">
        <v>15</v>
      </c>
    </row>
    <row r="131" spans="1:27">
      <c r="A131" t="s">
        <v>99</v>
      </c>
      <c r="G131">
        <v>-3681</v>
      </c>
      <c r="H131">
        <v>-3682</v>
      </c>
      <c r="I131">
        <v>-1912</v>
      </c>
      <c r="J131">
        <f>I131*(W156+1)</f>
        <v>-1191.7170553163307</v>
      </c>
      <c r="K131">
        <f t="shared" ref="K131:L131" si="77">J131*(X156+1)</f>
        <v>-762.0382875591024</v>
      </c>
      <c r="L131">
        <f t="shared" si="77"/>
        <v>-518.93753590615768</v>
      </c>
      <c r="P131" t="s">
        <v>77</v>
      </c>
      <c r="T131" s="18">
        <f>G106/G20</f>
        <v>0.20642254822686842</v>
      </c>
      <c r="U131" s="18">
        <f t="shared" ref="U131:V131" si="78">H106/H20</f>
        <v>0.16602977994465673</v>
      </c>
      <c r="V131" s="18">
        <f t="shared" si="78"/>
        <v>0.12482758620689655</v>
      </c>
      <c r="W131" s="18">
        <f>AVERAGE(T131:V131)</f>
        <v>0.16575997145947391</v>
      </c>
      <c r="X131" s="18">
        <f t="shared" ref="X131:Y131" si="79">AVERAGE(U131:W131)</f>
        <v>0.15220577920367573</v>
      </c>
      <c r="Y131" s="18">
        <f t="shared" si="79"/>
        <v>0.14759777895668205</v>
      </c>
      <c r="Z131" s="2"/>
      <c r="AA131" s="2"/>
    </row>
    <row r="132" spans="1:27">
      <c r="A132" t="s">
        <v>100</v>
      </c>
      <c r="G132">
        <v>-6043</v>
      </c>
      <c r="H132">
        <v>-6320</v>
      </c>
      <c r="I132">
        <v>-6644</v>
      </c>
      <c r="J132">
        <f>I132*(1+W157)</f>
        <v>-1562.4245742081112</v>
      </c>
      <c r="K132">
        <f t="shared" ref="K132:L132" si="80">J132*(1+X157)</f>
        <v>-332.64060181653855</v>
      </c>
      <c r="L132">
        <f t="shared" si="80"/>
        <v>-75.884784081570871</v>
      </c>
      <c r="P132" t="s">
        <v>78</v>
      </c>
      <c r="T132" s="18">
        <f>G107/G20</f>
        <v>2.9802471987986599E-2</v>
      </c>
      <c r="U132" s="18">
        <f t="shared" ref="U132:V132" si="81">H107/H20</f>
        <v>2.8857556990380815E-2</v>
      </c>
      <c r="V132" s="18">
        <f t="shared" si="81"/>
        <v>2.5862068965517241E-2</v>
      </c>
      <c r="W132" s="18">
        <f t="shared" ref="W132:W135" si="82">AVERAGE(T132:V132)</f>
        <v>2.8174032647961551E-2</v>
      </c>
      <c r="X132" s="18">
        <f t="shared" ref="X132:X135" si="83">AVERAGE(U132:W132)</f>
        <v>2.7631219534619871E-2</v>
      </c>
      <c r="Y132" s="18">
        <f t="shared" ref="Y132:Y135" si="84">AVERAGE(V132:X132)</f>
        <v>2.7222440382699553E-2</v>
      </c>
      <c r="Z132" s="18"/>
      <c r="AA132" s="2"/>
    </row>
    <row r="133" spans="1:27">
      <c r="A133" t="s">
        <v>101</v>
      </c>
      <c r="G133">
        <v>79</v>
      </c>
      <c r="H133">
        <v>-91</v>
      </c>
      <c r="I133">
        <v>-243</v>
      </c>
      <c r="J133">
        <f>I133*(1+W158)</f>
        <v>-240.50548260759678</v>
      </c>
      <c r="K133">
        <f t="shared" ref="K133:L133" si="85">J133*(1+X158)</f>
        <v>-236.48202006626576</v>
      </c>
      <c r="L133">
        <f t="shared" si="85"/>
        <v>-232.15237081159441</v>
      </c>
      <c r="P133" t="s">
        <v>79</v>
      </c>
      <c r="T133" s="18">
        <f>G108/G28</f>
        <v>-0.13114754098360656</v>
      </c>
      <c r="U133" s="18">
        <f t="shared" ref="U133:V133" si="86">H108/H28</f>
        <v>-1.0064102564102564</v>
      </c>
      <c r="V133" s="18">
        <f t="shared" si="86"/>
        <v>-6.9940938762822508E-2</v>
      </c>
      <c r="W133" s="18">
        <f t="shared" si="82"/>
        <v>-0.40249957871889513</v>
      </c>
      <c r="X133" s="18">
        <f t="shared" si="83"/>
        <v>-0.49295025796399133</v>
      </c>
      <c r="Y133" s="18">
        <f t="shared" si="84"/>
        <v>-0.32179692514856967</v>
      </c>
      <c r="Z133" s="2"/>
      <c r="AA133" s="2"/>
    </row>
    <row r="134" spans="1:27">
      <c r="A134" s="6" t="s">
        <v>102</v>
      </c>
      <c r="B134" s="6"/>
      <c r="C134" s="6"/>
      <c r="D134" s="6"/>
      <c r="E134" s="6"/>
      <c r="F134" s="6"/>
      <c r="G134" s="6">
        <f>SUM(G128:G133)</f>
        <v>-6545</v>
      </c>
      <c r="H134" s="6">
        <f t="shared" ref="H134:I134" si="87">SUM(H128:H133)</f>
        <v>-7379</v>
      </c>
      <c r="I134" s="6">
        <f t="shared" si="87"/>
        <v>-10552</v>
      </c>
      <c r="J134" s="6">
        <f t="shared" ref="J134" si="88">SUM(J128:J133)</f>
        <v>191787.12511464025</v>
      </c>
      <c r="K134" s="6">
        <f t="shared" ref="K134" si="89">SUM(K128:K133)</f>
        <v>350272.02526750579</v>
      </c>
      <c r="L134" s="6">
        <f t="shared" ref="L134" si="90">SUM(L128:L133)</f>
        <v>2832186.9976507118</v>
      </c>
      <c r="P134" t="s">
        <v>80</v>
      </c>
      <c r="T134" s="18">
        <f>G109/G20</f>
        <v>-5.1865542335682108E-2</v>
      </c>
      <c r="U134" s="18">
        <f t="shared" ref="U134:V134" si="91">H109/H28</f>
        <v>-0.50320512820512819</v>
      </c>
      <c r="V134" s="18">
        <f t="shared" si="91"/>
        <v>-7.1028908921355299E-2</v>
      </c>
      <c r="W134" s="18">
        <f>AVERAGE(T134:V134)</f>
        <v>-0.20869985982072184</v>
      </c>
      <c r="X134" s="18">
        <f>AVERAGE(U134:W134)</f>
        <v>-0.26097796564906844</v>
      </c>
      <c r="Y134" s="18">
        <f t="shared" si="84"/>
        <v>-0.18023557813038185</v>
      </c>
      <c r="Z134" s="2"/>
      <c r="AA134" s="2"/>
    </row>
    <row r="135" spans="1:27">
      <c r="P135" t="s">
        <v>81</v>
      </c>
      <c r="T135" s="2">
        <f>G110/G20</f>
        <v>1.8251126256208849E-2</v>
      </c>
      <c r="U135" s="2">
        <f t="shared" ref="U135:V135" si="92">H110/H20</f>
        <v>3.7027276320990905E-2</v>
      </c>
      <c r="V135" s="2">
        <f t="shared" si="92"/>
        <v>-4.3678160919540226E-3</v>
      </c>
      <c r="W135" s="18">
        <f t="shared" si="82"/>
        <v>1.697019549508191E-2</v>
      </c>
      <c r="X135" s="18">
        <f t="shared" si="83"/>
        <v>1.6543218574706264E-2</v>
      </c>
      <c r="Y135" s="18">
        <f t="shared" si="84"/>
        <v>9.7151993259447164E-3</v>
      </c>
      <c r="Z135" s="2"/>
      <c r="AA135" s="2"/>
    </row>
    <row r="136" spans="1:27">
      <c r="A136" t="s">
        <v>103</v>
      </c>
      <c r="P136" t="s">
        <v>82</v>
      </c>
      <c r="T136" s="18">
        <f>G109/G20</f>
        <v>-5.1865542335682108E-2</v>
      </c>
      <c r="U136" s="18">
        <f t="shared" ref="U136:V136" si="93">H109/H20</f>
        <v>-8.2751350639082885E-2</v>
      </c>
      <c r="V136" s="18">
        <f t="shared" si="93"/>
        <v>-5.2528735632183909E-2</v>
      </c>
      <c r="W136" s="18">
        <f t="shared" ref="W136" si="94">AVERAGE(T136:V136)</f>
        <v>-6.2381876202316298E-2</v>
      </c>
      <c r="X136" s="18">
        <f t="shared" ref="X136" si="95">AVERAGE(U136:W136)</f>
        <v>-6.5887320824527709E-2</v>
      </c>
      <c r="Y136" s="18">
        <f t="shared" ref="Y136" si="96">AVERAGE(V136:X136)</f>
        <v>-6.026597755300931E-2</v>
      </c>
      <c r="Z136" s="2"/>
      <c r="AA136" s="2"/>
    </row>
    <row r="137" spans="1:27">
      <c r="P137" t="s">
        <v>83</v>
      </c>
      <c r="T137" s="18">
        <f>G112/G20</f>
        <v>7.4737206884602059E-2</v>
      </c>
      <c r="U137" s="18">
        <f t="shared" ref="U137:V137" si="97">H112/H20</f>
        <v>0.16049545394650153</v>
      </c>
      <c r="V137" s="18">
        <f t="shared" si="97"/>
        <v>6.4137931034482759E-2</v>
      </c>
      <c r="W137" s="18">
        <f t="shared" ref="W137" si="98">AVERAGE(T137:V137)</f>
        <v>9.9790197288528781E-2</v>
      </c>
      <c r="X137" s="18">
        <f t="shared" ref="X137" si="99">AVERAGE(U137:W137)</f>
        <v>0.10814119408983769</v>
      </c>
      <c r="Y137" s="18">
        <f t="shared" ref="Y137" si="100">AVERAGE(V137:X137)</f>
        <v>9.0689774137616405E-2</v>
      </c>
      <c r="Z137" s="2"/>
      <c r="AA137" s="2"/>
    </row>
    <row r="138" spans="1:27">
      <c r="A138" t="s">
        <v>104</v>
      </c>
      <c r="G138">
        <v>0</v>
      </c>
      <c r="H138">
        <v>111</v>
      </c>
      <c r="I138">
        <v>307</v>
      </c>
      <c r="J138">
        <f>((I138-H138)/H138)+1*(I138)</f>
        <v>308.76576576576576</v>
      </c>
      <c r="K138">
        <f t="shared" ref="K138:L138" si="101">((J138-I138)/I138)+1*(J138)</f>
        <v>308.77151744578453</v>
      </c>
      <c r="L138">
        <f t="shared" si="101"/>
        <v>308.77153607375647</v>
      </c>
      <c r="P138" t="s">
        <v>84</v>
      </c>
      <c r="T138" s="18">
        <f>G133/G20</f>
        <v>9.1255631281044244E-3</v>
      </c>
      <c r="U138" s="18">
        <f t="shared" ref="U138:V138" si="102">H133/H20</f>
        <v>-1.1991039662669654E-2</v>
      </c>
      <c r="V138" s="18">
        <f t="shared" si="102"/>
        <v>-2.7931034482758622E-2</v>
      </c>
      <c r="W138" s="18">
        <f t="shared" ref="W138" si="103">AVERAGE(T138:V138)</f>
        <v>-1.0265503672441284E-2</v>
      </c>
      <c r="X138" s="18">
        <f t="shared" ref="X138" si="104">AVERAGE(U138:W138)</f>
        <v>-1.6729192605956521E-2</v>
      </c>
      <c r="Y138" s="18">
        <f t="shared" ref="Y138" si="105">AVERAGE(V138:X138)</f>
        <v>-1.8308576920385473E-2</v>
      </c>
      <c r="Z138" s="2"/>
      <c r="AA138" s="2"/>
    </row>
    <row r="139" spans="1:27">
      <c r="A139" t="s">
        <v>105</v>
      </c>
      <c r="G139">
        <v>0</v>
      </c>
      <c r="H139">
        <v>-58</v>
      </c>
      <c r="I139">
        <v>-421</v>
      </c>
      <c r="J139">
        <f t="shared" ref="J139:J150" si="106">((I139-H139)/H139)+1*(I139)</f>
        <v>-414.74137931034483</v>
      </c>
      <c r="K139">
        <f t="shared" ref="K139:K140" si="107">((J139-I139)/I139)+1*(J139)</f>
        <v>-414.75624539274304</v>
      </c>
      <c r="L139">
        <f t="shared" ref="L139:L150" si="108">((K139-J139)/J139)+1*(K139)</f>
        <v>-414.75620954852025</v>
      </c>
      <c r="P139" t="s">
        <v>88</v>
      </c>
      <c r="T139" s="2">
        <f>G118/G20</f>
        <v>-1.9205267413653691</v>
      </c>
      <c r="U139" s="2">
        <f t="shared" ref="U139:V139" si="109">H118/H20</f>
        <v>-2.2790881539069705</v>
      </c>
      <c r="V139" s="2">
        <f t="shared" si="109"/>
        <v>-0.89528735632183909</v>
      </c>
      <c r="W139" s="18">
        <f t="shared" ref="W139" si="110">AVERAGE(T139:V139)</f>
        <v>-1.698300750531393</v>
      </c>
      <c r="X139" s="18">
        <f t="shared" ref="X139" si="111">AVERAGE(U139:W139)</f>
        <v>-1.624225420253401</v>
      </c>
      <c r="Y139" s="18">
        <f t="shared" ref="Y139" si="112">AVERAGE(V139:X139)</f>
        <v>-1.4059378423688778</v>
      </c>
      <c r="Z139" s="2"/>
      <c r="AA139" s="2"/>
    </row>
    <row r="140" spans="1:27">
      <c r="A140" t="s">
        <v>106</v>
      </c>
      <c r="G140">
        <v>0</v>
      </c>
      <c r="H140">
        <v>-38</v>
      </c>
      <c r="I140">
        <v>205</v>
      </c>
      <c r="J140">
        <f t="shared" si="106"/>
        <v>198.60526315789474</v>
      </c>
      <c r="K140">
        <f t="shared" si="107"/>
        <v>198.57406931964056</v>
      </c>
      <c r="L140">
        <f t="shared" si="108"/>
        <v>198.57391225513101</v>
      </c>
      <c r="P140" t="s">
        <v>89</v>
      </c>
      <c r="T140" s="2">
        <f>G121/G20</f>
        <v>0.11955642832389973</v>
      </c>
      <c r="U140" s="2">
        <f t="shared" ref="U140:V140" si="113">H121/H20</f>
        <v>0.50349189616550272</v>
      </c>
      <c r="V140" s="2">
        <f t="shared" si="113"/>
        <v>0.15655172413793103</v>
      </c>
      <c r="W140" s="18">
        <f t="shared" ref="W140" si="114">AVERAGE(T140:V140)</f>
        <v>0.25986668287577785</v>
      </c>
      <c r="X140" s="18">
        <f t="shared" ref="X140" si="115">AVERAGE(U140:W140)</f>
        <v>0.30663676772640386</v>
      </c>
      <c r="Y140" s="18">
        <f t="shared" ref="Y140" si="116">AVERAGE(V140:X140)</f>
        <v>0.2410183915800376</v>
      </c>
      <c r="Z140" s="2"/>
      <c r="AA140" s="2"/>
    </row>
    <row r="141" spans="1:27">
      <c r="A141" t="s">
        <v>107</v>
      </c>
      <c r="G141">
        <f>SUM(G138:G140)</f>
        <v>0</v>
      </c>
      <c r="H141">
        <f t="shared" ref="H141:I141" si="117">SUM(H138:H140)</f>
        <v>15</v>
      </c>
      <c r="I141">
        <f t="shared" si="117"/>
        <v>91</v>
      </c>
      <c r="J141">
        <f>SUM(J138:J140)</f>
        <v>92.629649613315678</v>
      </c>
      <c r="K141">
        <f t="shared" ref="K141" si="118">SUM(K138:K140)</f>
        <v>92.589341372682043</v>
      </c>
      <c r="L141">
        <f t="shared" ref="L141" si="119">SUM(L138:L140)</f>
        <v>92.589238780367225</v>
      </c>
      <c r="T141" s="2"/>
      <c r="U141" s="2"/>
      <c r="V141" s="2"/>
      <c r="W141" s="2"/>
      <c r="X141" s="2"/>
      <c r="Y141" s="2"/>
      <c r="Z141" s="2"/>
      <c r="AA141" s="2"/>
    </row>
    <row r="142" spans="1:27">
      <c r="P142" t="s">
        <v>90</v>
      </c>
      <c r="T142" s="2">
        <f>G120/G20</f>
        <v>-9.680027723229756E-2</v>
      </c>
      <c r="U142" s="2">
        <f t="shared" ref="U142:V142" si="120">H120/H20</f>
        <v>-0.50191066016602981</v>
      </c>
      <c r="V142" s="2">
        <f t="shared" si="120"/>
        <v>-0.11954022988505747</v>
      </c>
      <c r="W142" s="2">
        <f>AVERAGE(T142:V142)</f>
        <v>-0.23941705576112829</v>
      </c>
      <c r="X142" s="2">
        <f t="shared" ref="X142:Y144" si="121">AVERAGE(U142:W142)</f>
        <v>-0.28695598193740518</v>
      </c>
      <c r="Y142" s="2">
        <f t="shared" si="121"/>
        <v>-0.21530442252786366</v>
      </c>
      <c r="Z142" s="2"/>
      <c r="AA142" s="2"/>
    </row>
    <row r="143" spans="1:27">
      <c r="P143" t="s">
        <v>91</v>
      </c>
      <c r="T143" s="2">
        <f>G119/G20</f>
        <v>2.0609911054637866</v>
      </c>
      <c r="U143" s="2">
        <f t="shared" ref="U143:V143" si="122">H119/H20</f>
        <v>2.1997628146000792</v>
      </c>
      <c r="V143" s="2">
        <f t="shared" si="122"/>
        <v>1.7214942528735633</v>
      </c>
      <c r="W143" s="2">
        <f>AVERAGE(T143:V143)</f>
        <v>1.9940827243124766</v>
      </c>
      <c r="X143" s="2">
        <f t="shared" si="121"/>
        <v>1.9717799305953729</v>
      </c>
      <c r="Y143" s="2">
        <f t="shared" si="121"/>
        <v>1.8957856359271377</v>
      </c>
      <c r="Z143" s="2"/>
      <c r="AA143" s="2"/>
    </row>
    <row r="144" spans="1:27">
      <c r="A144" s="22" t="s">
        <v>108</v>
      </c>
      <c r="B144" s="22"/>
      <c r="C144" s="22"/>
      <c r="D144" s="22"/>
      <c r="E144" s="22"/>
      <c r="P144" t="s">
        <v>92</v>
      </c>
      <c r="T144" s="2">
        <f>G122/H20</f>
        <v>0.29806298590064567</v>
      </c>
      <c r="U144" s="2">
        <f t="shared" ref="U144:V144" si="123">H122/I20</f>
        <v>0.19252873563218389</v>
      </c>
      <c r="V144" s="2">
        <f t="shared" si="123"/>
        <v>4.5602578851772532E-2</v>
      </c>
      <c r="W144" s="2">
        <f>AVERAGE(T144:V144)</f>
        <v>0.17873143346153406</v>
      </c>
      <c r="X144" s="2">
        <f t="shared" si="121"/>
        <v>0.13895424931516351</v>
      </c>
      <c r="Y144" s="2">
        <f t="shared" si="121"/>
        <v>0.12109608720949001</v>
      </c>
      <c r="Z144" s="2"/>
      <c r="AA144" s="2"/>
    </row>
    <row r="145" spans="1:28">
      <c r="A145" s="22"/>
      <c r="B145" s="22"/>
      <c r="C145" s="22"/>
      <c r="D145" s="22"/>
      <c r="E145" s="22"/>
      <c r="P145" t="s">
        <v>93</v>
      </c>
      <c r="T145" s="2">
        <f>G122/G20</f>
        <v>0.26129144045281277</v>
      </c>
      <c r="U145" s="2">
        <f t="shared" ref="U145:V145" si="124">H122/H20</f>
        <v>0.22071419159309527</v>
      </c>
      <c r="V145" s="2">
        <f t="shared" si="124"/>
        <v>0.15482758620689654</v>
      </c>
      <c r="W145" s="2">
        <f>AVERAGE(T145:V145)</f>
        <v>0.21227773941760153</v>
      </c>
      <c r="X145" s="2">
        <f t="shared" ref="X145:Y146" si="125">AVERAGE(U145:W145)</f>
        <v>0.1959398390725311</v>
      </c>
      <c r="Y145" s="2">
        <f t="shared" si="125"/>
        <v>0.18768172156567639</v>
      </c>
      <c r="Z145" s="2"/>
      <c r="AA145" s="2"/>
      <c r="AB145" s="2"/>
    </row>
    <row r="146" spans="1:28">
      <c r="P146" t="s">
        <v>94</v>
      </c>
      <c r="T146" s="18">
        <f>G133/G20</f>
        <v>9.1255631281044244E-3</v>
      </c>
      <c r="U146" s="18">
        <f t="shared" ref="U146:V146" si="126">H133/H20</f>
        <v>-1.1991039662669654E-2</v>
      </c>
      <c r="V146" s="18">
        <f t="shared" si="126"/>
        <v>-2.7931034482758622E-2</v>
      </c>
      <c r="W146" s="2">
        <f>AVERAGE(T146:V146)</f>
        <v>-1.0265503672441284E-2</v>
      </c>
      <c r="X146" s="2">
        <f t="shared" si="125"/>
        <v>-1.6729192605956521E-2</v>
      </c>
      <c r="Y146" s="2">
        <f t="shared" si="125"/>
        <v>-1.8308576920385473E-2</v>
      </c>
      <c r="Z146" s="2"/>
      <c r="AA146" s="2"/>
    </row>
    <row r="147" spans="1:28">
      <c r="A147" t="s">
        <v>109</v>
      </c>
      <c r="T147" s="2"/>
      <c r="U147" s="2"/>
      <c r="V147" s="2"/>
      <c r="W147" s="2"/>
      <c r="X147" s="2"/>
      <c r="Y147" s="2"/>
      <c r="Z147" s="2"/>
      <c r="AA147" s="2"/>
    </row>
    <row r="148" spans="1:28">
      <c r="A148" s="22" t="s">
        <v>110</v>
      </c>
      <c r="B148" s="22"/>
      <c r="C148" s="22"/>
      <c r="D148" s="22"/>
      <c r="E148" s="22"/>
      <c r="G148" s="3">
        <v>-5</v>
      </c>
      <c r="H148">
        <v>241</v>
      </c>
      <c r="I148">
        <v>-262</v>
      </c>
      <c r="J148">
        <f t="shared" si="106"/>
        <v>-264.0871369294606</v>
      </c>
      <c r="K148">
        <f t="shared" ref="K148" si="127">((J148-I148)/I148)+1*(J148)</f>
        <v>-264.07917075797411</v>
      </c>
      <c r="L148">
        <f t="shared" si="108"/>
        <v>-264.07920092290976</v>
      </c>
      <c r="T148" s="2"/>
      <c r="U148" s="2"/>
      <c r="V148" s="2"/>
      <c r="W148" s="2"/>
      <c r="X148" s="2"/>
      <c r="Y148" s="2"/>
      <c r="Z148" s="2"/>
      <c r="AA148" s="2"/>
    </row>
    <row r="149" spans="1:28">
      <c r="A149" s="22"/>
      <c r="B149" s="22"/>
      <c r="C149" s="22"/>
      <c r="D149" s="22"/>
      <c r="E149" s="22"/>
    </row>
    <row r="150" spans="1:28">
      <c r="A150" t="s">
        <v>111</v>
      </c>
      <c r="G150">
        <v>1238</v>
      </c>
      <c r="H150">
        <v>-2477</v>
      </c>
      <c r="I150">
        <v>2945</v>
      </c>
      <c r="J150">
        <f t="shared" si="106"/>
        <v>2942.8110617682682</v>
      </c>
      <c r="K150">
        <f t="shared" ref="K150" si="128">((J150-I150)/I150)+1*(J150)</f>
        <v>2942.8103184955239</v>
      </c>
      <c r="L150">
        <f t="shared" si="108"/>
        <v>2942.8103182429513</v>
      </c>
      <c r="P150" s="6" t="s">
        <v>132</v>
      </c>
    </row>
    <row r="151" spans="1:28">
      <c r="A151" t="s">
        <v>112</v>
      </c>
      <c r="G151">
        <v>7612</v>
      </c>
      <c r="H151">
        <v>8850</v>
      </c>
      <c r="I151">
        <v>6373</v>
      </c>
      <c r="J151">
        <f t="shared" ref="J151:J153" si="129">((I151-H151)/H151)+1*(I151)</f>
        <v>6372.7201129943505</v>
      </c>
      <c r="K151">
        <f t="shared" ref="K151:K153" si="130">((J151-I151)/I151)+1*(J151)</f>
        <v>6372.7200690767286</v>
      </c>
      <c r="L151">
        <f t="shared" ref="L151:L153" si="131">((K151-J151)/J151)+1*(K151)</f>
        <v>6372.7200690698373</v>
      </c>
    </row>
    <row r="152" spans="1:28">
      <c r="A152" t="s">
        <v>113</v>
      </c>
      <c r="G152">
        <f>SUM(G150:G151)</f>
        <v>8850</v>
      </c>
      <c r="H152">
        <f t="shared" ref="H152:I152" si="132">SUM(H150:H151)</f>
        <v>6373</v>
      </c>
      <c r="I152">
        <f t="shared" si="132"/>
        <v>9318</v>
      </c>
      <c r="J152">
        <f t="shared" si="129"/>
        <v>9318.4621057586701</v>
      </c>
      <c r="K152">
        <f t="shared" si="130"/>
        <v>9318.4621553514753</v>
      </c>
      <c r="L152">
        <f t="shared" si="131"/>
        <v>9318.4621553567977</v>
      </c>
      <c r="P152" t="s">
        <v>95</v>
      </c>
    </row>
    <row r="153" spans="1:28">
      <c r="A153" t="s">
        <v>114</v>
      </c>
      <c r="G153">
        <v>295</v>
      </c>
      <c r="H153">
        <v>367</v>
      </c>
      <c r="I153">
        <v>392</v>
      </c>
      <c r="J153">
        <f t="shared" si="129"/>
        <v>392.06811989100817</v>
      </c>
      <c r="K153">
        <f t="shared" si="130"/>
        <v>392.06829366624032</v>
      </c>
      <c r="L153">
        <f t="shared" si="131"/>
        <v>392.06829410946744</v>
      </c>
      <c r="P153" t="s">
        <v>96</v>
      </c>
      <c r="T153" s="2">
        <f>G128/G20</f>
        <v>3.1513226290862884</v>
      </c>
      <c r="U153" s="2">
        <f t="shared" ref="U153:V153" si="133">H128/H20</f>
        <v>3.934246936355251</v>
      </c>
      <c r="V153" s="2">
        <f t="shared" si="133"/>
        <v>3.1424137931034481</v>
      </c>
      <c r="W153" s="2">
        <f>AVERAGE(T153:V153)</f>
        <v>3.4093277861816627</v>
      </c>
      <c r="X153" s="2">
        <f t="shared" ref="X153:Y153" si="134">AVERAGE(U153:W153)</f>
        <v>3.4953295052134536</v>
      </c>
      <c r="Y153" s="2">
        <f t="shared" si="134"/>
        <v>3.3490236948328547</v>
      </c>
    </row>
    <row r="154" spans="1:28">
      <c r="A154" s="14" t="s">
        <v>115</v>
      </c>
      <c r="B154" s="14"/>
      <c r="C154" s="14"/>
      <c r="D154" s="14"/>
      <c r="E154" s="14"/>
      <c r="F154" s="14"/>
      <c r="G154" s="14">
        <f>G152-G153</f>
        <v>8555</v>
      </c>
      <c r="H154" s="14">
        <f>H152-H153</f>
        <v>6006</v>
      </c>
      <c r="I154" s="14">
        <f t="shared" ref="I154" si="135">I152-I153</f>
        <v>8926</v>
      </c>
      <c r="J154" s="14">
        <f t="shared" ref="J154" si="136">J152-J153</f>
        <v>8926.3939858676622</v>
      </c>
      <c r="K154" s="14">
        <f t="shared" ref="K154" si="137">K152-K153</f>
        <v>8926.3938616852356</v>
      </c>
      <c r="L154" s="14">
        <f t="shared" ref="L154" si="138">L152-L153</f>
        <v>8926.3938612473303</v>
      </c>
      <c r="P154" t="s">
        <v>97</v>
      </c>
      <c r="T154" s="2">
        <f>G129/G20</f>
        <v>-2.9588772091948714</v>
      </c>
      <c r="U154" s="2">
        <f t="shared" ref="U154:V154" si="139">H129/H20</f>
        <v>-3.786796679404401</v>
      </c>
      <c r="V154" s="2">
        <f t="shared" si="139"/>
        <v>-3.5135632183908045</v>
      </c>
      <c r="W154" s="2">
        <f t="shared" ref="W154:W158" si="140">AVERAGE(T154:V154)</f>
        <v>-3.4197457023300259</v>
      </c>
      <c r="X154" s="2">
        <f t="shared" ref="X154:X158" si="141">AVERAGE(U154:W154)</f>
        <v>-3.5733685333750773</v>
      </c>
      <c r="Y154" s="2">
        <f t="shared" ref="Y154:Y158" si="142">AVERAGE(V154:X154)</f>
        <v>-3.502225818031969</v>
      </c>
    </row>
    <row r="155" spans="1:28">
      <c r="P155" t="s">
        <v>98</v>
      </c>
      <c r="T155" s="2">
        <f>G130/G20</f>
        <v>0.16564629779369297</v>
      </c>
      <c r="U155" s="2">
        <f t="shared" ref="U155:V155" si="143">H130/H20</f>
        <v>0.2101726182632758</v>
      </c>
      <c r="V155" s="2">
        <f t="shared" si="143"/>
        <v>0.1696551724137931</v>
      </c>
      <c r="W155" s="2">
        <f t="shared" si="140"/>
        <v>0.18182469615692062</v>
      </c>
      <c r="X155" s="2">
        <f t="shared" si="141"/>
        <v>0.18721749561132983</v>
      </c>
      <c r="Y155" s="2">
        <f t="shared" si="142"/>
        <v>0.17956578806068121</v>
      </c>
    </row>
    <row r="156" spans="1:28">
      <c r="P156" t="s">
        <v>99</v>
      </c>
      <c r="T156" s="2">
        <f>G131/G20</f>
        <v>-0.42520503638673907</v>
      </c>
      <c r="U156" s="2">
        <f t="shared" ref="U156:V156" si="144">H131/H20</f>
        <v>-0.48517591250494135</v>
      </c>
      <c r="V156" s="2">
        <f t="shared" si="144"/>
        <v>-0.21977011494252874</v>
      </c>
      <c r="W156" s="2">
        <f t="shared" si="140"/>
        <v>-0.37671702127806972</v>
      </c>
      <c r="X156" s="2">
        <f t="shared" si="141"/>
        <v>-0.36055434957517996</v>
      </c>
      <c r="Y156" s="2">
        <f t="shared" si="142"/>
        <v>-0.31901382859859279</v>
      </c>
    </row>
    <row r="157" spans="1:28">
      <c r="G157">
        <v>2016</v>
      </c>
      <c r="H157">
        <v>2017</v>
      </c>
      <c r="I157">
        <v>2018</v>
      </c>
      <c r="J157">
        <v>2019</v>
      </c>
      <c r="P157" t="s">
        <v>100</v>
      </c>
      <c r="T157" s="2">
        <f>G132/G20</f>
        <v>-0.69804782257132958</v>
      </c>
      <c r="U157" s="2">
        <f t="shared" ref="U157:V157" si="145">H132/H20</f>
        <v>-0.83278429305573853</v>
      </c>
      <c r="V157" s="2">
        <f t="shared" si="145"/>
        <v>-0.76367816091954022</v>
      </c>
      <c r="W157" s="2">
        <f t="shared" si="140"/>
        <v>-0.76483675884886948</v>
      </c>
      <c r="X157" s="2">
        <f t="shared" si="141"/>
        <v>-0.78709973760804941</v>
      </c>
      <c r="Y157" s="2">
        <f t="shared" si="142"/>
        <v>-0.77187155245881967</v>
      </c>
    </row>
    <row r="158" spans="1:28">
      <c r="P158" t="s">
        <v>101</v>
      </c>
      <c r="T158" s="2">
        <f>G133/G20</f>
        <v>9.1255631281044244E-3</v>
      </c>
      <c r="U158" s="2">
        <f t="shared" ref="U158:V158" si="146">H133/H20</f>
        <v>-1.1991039662669654E-2</v>
      </c>
      <c r="V158" s="2">
        <f t="shared" si="146"/>
        <v>-2.7931034482758622E-2</v>
      </c>
      <c r="W158" s="2">
        <f t="shared" si="140"/>
        <v>-1.0265503672441284E-2</v>
      </c>
      <c r="X158" s="2">
        <f t="shared" si="141"/>
        <v>-1.6729192605956521E-2</v>
      </c>
      <c r="Y158" s="2">
        <f t="shared" si="142"/>
        <v>-1.8308576920385473E-2</v>
      </c>
    </row>
    <row r="159" spans="1:28">
      <c r="P159" s="6" t="s">
        <v>102</v>
      </c>
    </row>
    <row r="160" spans="1:28">
      <c r="A160" s="8" t="s">
        <v>116</v>
      </c>
    </row>
    <row r="161" spans="1:16">
      <c r="A161" t="s">
        <v>117</v>
      </c>
      <c r="H161">
        <f>H55</f>
        <v>6006</v>
      </c>
      <c r="I161">
        <f>I55</f>
        <v>8926</v>
      </c>
      <c r="J161">
        <f>J55</f>
        <v>8926.3939858676622</v>
      </c>
      <c r="K161">
        <f>K55</f>
        <v>8926.3938616852356</v>
      </c>
      <c r="L161">
        <f>L55</f>
        <v>8926.3938612473303</v>
      </c>
      <c r="P161" t="s">
        <v>103</v>
      </c>
    </row>
    <row r="162" spans="1:16">
      <c r="A162" t="s">
        <v>118</v>
      </c>
      <c r="H162" s="3">
        <f>H115</f>
        <v>6895</v>
      </c>
      <c r="I162" s="3">
        <f t="shared" ref="I162:L162" si="147">I115</f>
        <v>7027</v>
      </c>
      <c r="J162" s="3">
        <f t="shared" si="147"/>
        <v>25045.949127910098</v>
      </c>
      <c r="K162" s="3">
        <f t="shared" si="147"/>
        <v>46361.830040224209</v>
      </c>
      <c r="L162" s="3">
        <f t="shared" si="147"/>
        <v>68224.848125357414</v>
      </c>
    </row>
    <row r="163" spans="1:16">
      <c r="A163" t="s">
        <v>119</v>
      </c>
      <c r="H163">
        <f>H141</f>
        <v>15</v>
      </c>
      <c r="I163">
        <f t="shared" ref="I163:L163" si="148">I141</f>
        <v>91</v>
      </c>
      <c r="J163">
        <f t="shared" si="148"/>
        <v>92.629649613315678</v>
      </c>
      <c r="K163">
        <f t="shared" si="148"/>
        <v>92.589341372682043</v>
      </c>
      <c r="L163">
        <f t="shared" si="148"/>
        <v>92.589238780367225</v>
      </c>
      <c r="P163" t="s">
        <v>104</v>
      </c>
    </row>
    <row r="164" spans="1:16">
      <c r="A164" t="s">
        <v>120</v>
      </c>
      <c r="P164" t="s">
        <v>105</v>
      </c>
    </row>
    <row r="165" spans="1:16">
      <c r="H165">
        <f>SUM(H161:H164)</f>
        <v>12916</v>
      </c>
      <c r="I165">
        <f t="shared" ref="I165:L165" si="149">SUM(I161:I164)</f>
        <v>16044</v>
      </c>
      <c r="J165">
        <f t="shared" si="149"/>
        <v>34064.972763391073</v>
      </c>
      <c r="K165">
        <f t="shared" si="149"/>
        <v>55380.813243282122</v>
      </c>
      <c r="L165">
        <f t="shared" si="149"/>
        <v>77243.831225385104</v>
      </c>
      <c r="P165" t="s">
        <v>106</v>
      </c>
    </row>
    <row r="166" spans="1:16">
      <c r="P166" t="s">
        <v>107</v>
      </c>
    </row>
    <row r="167" spans="1:16">
      <c r="A167" s="8" t="s">
        <v>145</v>
      </c>
      <c r="M167" s="3">
        <f t="shared" ref="M167" si="150">N70</f>
        <v>0</v>
      </c>
    </row>
    <row r="168" spans="1:16">
      <c r="A168" t="s">
        <v>146</v>
      </c>
      <c r="H168" s="3">
        <f>H70</f>
        <v>8203</v>
      </c>
      <c r="I168" s="3">
        <f>I70</f>
        <v>8232</v>
      </c>
      <c r="J168" s="3">
        <f>J70</f>
        <v>6965.9846709950116</v>
      </c>
      <c r="K168" s="3">
        <f>K70</f>
        <v>5507.2744923550208</v>
      </c>
      <c r="L168" s="3">
        <f>L70</f>
        <v>3833.2619312062625</v>
      </c>
    </row>
    <row r="169" spans="1:16">
      <c r="A169" t="s">
        <v>147</v>
      </c>
      <c r="H169">
        <v>0</v>
      </c>
      <c r="I169">
        <v>0</v>
      </c>
      <c r="J169">
        <v>0</v>
      </c>
      <c r="K169">
        <v>0</v>
      </c>
      <c r="L169">
        <v>0</v>
      </c>
    </row>
    <row r="171" spans="1:16">
      <c r="A171" t="s">
        <v>148</v>
      </c>
      <c r="H171">
        <f>H172*H20</f>
        <v>270.04066647839596</v>
      </c>
      <c r="I171">
        <f t="shared" ref="I171:L171" si="151">I172*I20</f>
        <v>296.59090909090907</v>
      </c>
      <c r="J171">
        <f t="shared" si="151"/>
        <v>819.60861045159959</v>
      </c>
      <c r="K171">
        <f t="shared" si="151"/>
        <v>1199.8765612997374</v>
      </c>
      <c r="L171">
        <f t="shared" si="151"/>
        <v>1520.6645271215857</v>
      </c>
    </row>
    <row r="172" spans="1:16">
      <c r="A172" t="s">
        <v>149</v>
      </c>
      <c r="H172" s="2">
        <f>H106/H12</f>
        <v>3.5583168596441686E-2</v>
      </c>
      <c r="I172" s="2">
        <f t="shared" ref="I172:L172" si="152">I106/I12</f>
        <v>3.4090909090909088E-2</v>
      </c>
      <c r="J172" s="2">
        <f t="shared" si="152"/>
        <v>2.7747784918864728E-2</v>
      </c>
      <c r="K172" s="2">
        <f t="shared" si="152"/>
        <v>2.3504009850492735E-2</v>
      </c>
      <c r="L172" s="2">
        <f t="shared" si="152"/>
        <v>1.9996075079310602E-2</v>
      </c>
    </row>
    <row r="173" spans="1:16">
      <c r="H173" s="5">
        <f>H168+H169-H171</f>
        <v>7932.9593335216041</v>
      </c>
      <c r="I173" s="5">
        <f t="shared" ref="I173:L173" si="153">I168+I169-I171</f>
        <v>7935.409090909091</v>
      </c>
      <c r="J173" s="5">
        <f t="shared" si="153"/>
        <v>6146.3760605434118</v>
      </c>
      <c r="K173" s="5">
        <f t="shared" si="153"/>
        <v>4307.3979310552832</v>
      </c>
      <c r="L173" s="5">
        <f t="shared" si="153"/>
        <v>2312.5974040846768</v>
      </c>
    </row>
  </sheetData>
  <mergeCells count="2">
    <mergeCell ref="A144:E145"/>
    <mergeCell ref="A148:E149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activeCell="E12" sqref="E12:I12"/>
    </sheetView>
  </sheetViews>
  <sheetFormatPr defaultRowHeight="15"/>
  <sheetData>
    <row r="1" spans="1:9">
      <c r="A1" t="s">
        <v>150</v>
      </c>
    </row>
    <row r="5" spans="1:9">
      <c r="E5">
        <v>2017</v>
      </c>
      <c r="F5">
        <v>2018</v>
      </c>
      <c r="G5">
        <v>2019</v>
      </c>
      <c r="H5">
        <v>2020</v>
      </c>
      <c r="I5">
        <v>2021</v>
      </c>
    </row>
    <row r="6" spans="1:9">
      <c r="A6" t="s">
        <v>151</v>
      </c>
      <c r="E6">
        <f>'INTERGRATED statements'!G22</f>
        <v>8669</v>
      </c>
      <c r="F6">
        <f>'INTERGRATED statements'!H22</f>
        <v>7583</v>
      </c>
      <c r="G6">
        <f>'INTERGRATED statements'!I22</f>
        <v>9269</v>
      </c>
      <c r="H6">
        <f>'INTERGRATED statements'!J22</f>
        <v>29489.623290862277</v>
      </c>
      <c r="I6">
        <f>'INTERGRATED statements'!K22</f>
        <v>51055.383699724749</v>
      </c>
    </row>
    <row r="8" spans="1:9">
      <c r="A8" t="s">
        <v>152</v>
      </c>
      <c r="C8" s="16">
        <v>0.1</v>
      </c>
    </row>
    <row r="9" spans="1:9">
      <c r="A9" t="s">
        <v>153</v>
      </c>
      <c r="E9">
        <v>2017</v>
      </c>
      <c r="F9">
        <v>2018</v>
      </c>
      <c r="G9">
        <v>2019</v>
      </c>
      <c r="H9">
        <v>2020</v>
      </c>
      <c r="I9">
        <v>2021</v>
      </c>
    </row>
    <row r="10" spans="1:9">
      <c r="D10" t="s">
        <v>155</v>
      </c>
      <c r="E10">
        <v>1</v>
      </c>
      <c r="F10">
        <v>2</v>
      </c>
      <c r="G10">
        <v>3</v>
      </c>
      <c r="H10">
        <v>4</v>
      </c>
      <c r="I10">
        <v>5</v>
      </c>
    </row>
    <row r="11" spans="1:9">
      <c r="A11" t="s">
        <v>154</v>
      </c>
      <c r="E11">
        <f>1/((1+C8)^E10)</f>
        <v>0.90909090909090906</v>
      </c>
      <c r="F11">
        <f>1/((1+C8)^F10)</f>
        <v>0.82644628099173545</v>
      </c>
      <c r="G11">
        <f>1/((1+C8)^G10)</f>
        <v>0.75131480090157754</v>
      </c>
      <c r="H11">
        <f>1/((1+C8)^H10)</f>
        <v>0.68301345536507052</v>
      </c>
      <c r="I11">
        <f>1/((1+C8)^I10)</f>
        <v>0.62092132305915493</v>
      </c>
    </row>
    <row r="12" spans="1:9">
      <c r="A12" t="s">
        <v>156</v>
      </c>
      <c r="E12">
        <f>E6*E11</f>
        <v>7880.909090909091</v>
      </c>
      <c r="F12">
        <f t="shared" ref="F12:I12" si="0">F6*F11</f>
        <v>6266.9421487603295</v>
      </c>
      <c r="G12">
        <f t="shared" si="0"/>
        <v>6963.9368895567222</v>
      </c>
      <c r="H12">
        <f t="shared" si="0"/>
        <v>20141.809501306107</v>
      </c>
      <c r="I12">
        <f t="shared" si="0"/>
        <v>31701.376396125903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K19"/>
  <sheetViews>
    <sheetView topLeftCell="A10" workbookViewId="0">
      <selection activeCell="C19" sqref="C19:D19"/>
    </sheetView>
  </sheetViews>
  <sheetFormatPr defaultRowHeight="15"/>
  <cols>
    <col min="4" max="4" width="20.42578125" customWidth="1"/>
  </cols>
  <sheetData>
    <row r="2" spans="2:11">
      <c r="F2">
        <v>2017</v>
      </c>
      <c r="G2">
        <v>2018</v>
      </c>
      <c r="H2">
        <v>2019</v>
      </c>
      <c r="I2">
        <v>2020</v>
      </c>
      <c r="J2">
        <v>2021</v>
      </c>
      <c r="K2">
        <v>2022</v>
      </c>
    </row>
    <row r="3" spans="2:11">
      <c r="D3" t="s">
        <v>138</v>
      </c>
      <c r="F3" s="17">
        <v>0.82499999999999996</v>
      </c>
      <c r="G3" s="17">
        <v>0.19400000000000001</v>
      </c>
      <c r="H3" s="17">
        <v>0.19500000000000001</v>
      </c>
      <c r="I3" s="17">
        <f>AVERAGE(F3:H3)</f>
        <v>0.40466666666666667</v>
      </c>
      <c r="J3" s="17">
        <f t="shared" ref="J3:K3" si="0">AVERAGE(G3:I3)</f>
        <v>0.2645555555555556</v>
      </c>
      <c r="K3" s="17">
        <f t="shared" si="0"/>
        <v>0.28807407407407409</v>
      </c>
    </row>
    <row r="4" spans="2:11">
      <c r="D4" t="s">
        <v>157</v>
      </c>
      <c r="F4" s="17">
        <f>I3</f>
        <v>0.40466666666666667</v>
      </c>
    </row>
    <row r="5" spans="2:11">
      <c r="D5" t="s">
        <v>158</v>
      </c>
      <c r="F5" s="17">
        <v>0.19500000000000001</v>
      </c>
    </row>
    <row r="8" spans="2:11">
      <c r="B8" t="s">
        <v>162</v>
      </c>
      <c r="C8" t="s">
        <v>163</v>
      </c>
      <c r="F8" s="3">
        <f>'INTERGRATED statements'!J84</f>
        <v>32145.300000000003</v>
      </c>
    </row>
    <row r="9" spans="2:11">
      <c r="C9" t="s">
        <v>164</v>
      </c>
      <c r="F9">
        <f>'INTERGRATED statements'!J85</f>
        <v>31182.186582002436</v>
      </c>
    </row>
    <row r="10" spans="2:11">
      <c r="C10" t="s">
        <v>165</v>
      </c>
      <c r="F10" s="3">
        <f>F8+F9</f>
        <v>63327.486582002442</v>
      </c>
    </row>
    <row r="13" spans="2:11">
      <c r="C13" t="s">
        <v>166</v>
      </c>
    </row>
    <row r="14" spans="2:11">
      <c r="C14" t="s">
        <v>167</v>
      </c>
      <c r="D14" s="17">
        <f>Sheet3!B5</f>
        <v>2.8000000000000001E-2</v>
      </c>
    </row>
    <row r="15" spans="2:11">
      <c r="C15" t="s">
        <v>168</v>
      </c>
      <c r="D15" s="3">
        <f>F10</f>
        <v>63327.486582002442</v>
      </c>
    </row>
    <row r="16" spans="2:11">
      <c r="C16" t="s">
        <v>169</v>
      </c>
      <c r="D16">
        <v>150</v>
      </c>
    </row>
    <row r="17" spans="3:4">
      <c r="C17" t="s">
        <v>170</v>
      </c>
      <c r="D17">
        <f>11200-7040</f>
        <v>4160</v>
      </c>
    </row>
    <row r="18" spans="3:4">
      <c r="C18" t="s">
        <v>171</v>
      </c>
      <c r="D18">
        <f>D16*D17</f>
        <v>624000</v>
      </c>
    </row>
    <row r="19" spans="3:4">
      <c r="C19" s="4" t="s">
        <v>172</v>
      </c>
      <c r="D19" s="5">
        <f>D18+F10</f>
        <v>687327.48658200249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B5"/>
  <sheetViews>
    <sheetView workbookViewId="0">
      <selection activeCell="B5" sqref="B5"/>
    </sheetView>
  </sheetViews>
  <sheetFormatPr defaultRowHeight="15"/>
  <cols>
    <col min="1" max="1" width="16" customWidth="1"/>
  </cols>
  <sheetData>
    <row r="2" spans="1:2">
      <c r="A2" t="s">
        <v>159</v>
      </c>
      <c r="B2" s="17">
        <v>2.8000000000000001E-2</v>
      </c>
    </row>
    <row r="3" spans="1:2">
      <c r="A3" t="s">
        <v>160</v>
      </c>
      <c r="B3" s="17">
        <v>3.5000000000000003E-2</v>
      </c>
    </row>
    <row r="4" spans="1:2">
      <c r="A4" t="s">
        <v>161</v>
      </c>
      <c r="B4">
        <v>1.5</v>
      </c>
    </row>
    <row r="5" spans="1:2">
      <c r="B5" s="21">
        <f>B2+(F6*(B4-B2))</f>
        <v>2.8000000000000001E-2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INTERGRATED statements</vt:lpstr>
      <vt:lpstr>DCF</vt:lpstr>
      <vt:lpstr>WACC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Vinnst</dc:creator>
  <cp:lastModifiedBy>ADM</cp:lastModifiedBy>
  <dcterms:created xsi:type="dcterms:W3CDTF">2019-06-04T16:08:34Z</dcterms:created>
  <dcterms:modified xsi:type="dcterms:W3CDTF">2019-06-05T22:28:19Z</dcterms:modified>
</cp:coreProperties>
</file>